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24226"/>
  <mc:AlternateContent xmlns:mc="http://schemas.openxmlformats.org/markup-compatibility/2006">
    <mc:Choice Requires="x15">
      <x15ac:absPath xmlns:x15ac="http://schemas.microsoft.com/office/spreadsheetml/2010/11/ac" url="https://d.docs.live.net/31dfedd50d51e5ce/Documents/Business/Models/_Companies/ESRX/Website/"/>
    </mc:Choice>
  </mc:AlternateContent>
  <bookViews>
    <workbookView xWindow="480" yWindow="60" windowWidth="20730" windowHeight="10560" tabRatio="825" activeTab="1"/>
  </bookViews>
  <sheets>
    <sheet name="Valuation Model" sheetId="1" r:id="rId1"/>
    <sheet name="Company Analysis" sheetId="19" r:id="rId2"/>
    <sheet name="Graphing Data" sheetId="21" r:id="rId3"/>
    <sheet name="Revenue Chart" sheetId="22" r:id="rId4"/>
    <sheet name="Profit Chart" sheetId="23" r:id="rId5"/>
    <sheet name="ECF to OCP Chart" sheetId="25" r:id="rId6"/>
    <sheet name="ECF Breakdown Chart" sheetId="26" r:id="rId7"/>
    <sheet name="FCFO Chart" sheetId="27" r:id="rId8"/>
    <sheet name="Investment Efficacy Chart" sheetId="28" r:id="rId9"/>
    <sheet name="Valuation Histogram" sheetId="16" r:id="rId10"/>
    <sheet name="Histogram Data" sheetId="17" r:id="rId11"/>
    <sheet name="GDP Data" sheetId="20" r:id="rId12"/>
    <sheet name="Disclaimer" sheetId="18" r:id="rId13"/>
    <sheet name="PSW_Sheet" sheetId="11" state="veryHidden" r:id="rId14"/>
    <sheet name="_SSC" sheetId="12" state="veryHidden" r:id="rId15"/>
    <sheet name="_Options" sheetId="13" state="veryHidden" r:id="rId16"/>
  </sheets>
  <externalReferences>
    <externalReference r:id="rId17"/>
    <externalReference r:id="rId18"/>
    <externalReference r:id="rId19"/>
    <externalReference r:id="rId20"/>
    <externalReference r:id="rId21"/>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hidden="1">#REF!</definedName>
    <definedName name="_xlnm._FilterDatabase" localSheetId="10"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'Valuation Model'!$I$20</definedName>
    <definedName name="BoundLower">'[1]Valuation Overview'!$N$28</definedName>
    <definedName name="BoundUpper">'[1]Valuation Overview'!$N$27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[3]Control!$L$6</definedName>
    <definedName name="exp_likely">[3]Control!$J$6</definedName>
    <definedName name="exp_worst">[3]Control!$K$6</definedName>
    <definedName name="ExplicitYears">'[1]Valuation Overview'!$D$6</definedName>
    <definedName name="FairValue">'[1]Valuation Overview'!$O$10</definedName>
    <definedName name="GrowthRateAbnormal">'[1]Valuation Overview'!$J$13</definedName>
    <definedName name="GrowthYears">'[1]Valuation Overview'!$J$12</definedName>
    <definedName name="Inflation">'[1]Valuation Overview'!$D$15</definedName>
    <definedName name="iVol">'[1]Valuation Overview'!$D$24</definedName>
    <definedName name="iVol2">'[1]Valuation Overview'!$D$25</definedName>
    <definedName name="med_best">[3]Control!$L$7</definedName>
    <definedName name="med_likely">[3]Control!$J$7</definedName>
    <definedName name="med_worst">[3]Control!$K$7</definedName>
    <definedName name="NetDrift">'[1]Valuation Overview'!$D$19</definedName>
    <definedName name="ocp_best">[3]Control!$L$5</definedName>
    <definedName name="ocp_likely">[3]Control!$J$5</definedName>
    <definedName name="ocp_worst">[3]Control!$K$5</definedName>
    <definedName name="OptionChain">'[1]Security Pricing Data'!$F$3:$I$17</definedName>
    <definedName name="OutstandingShares">'[1]Valuation Overview'!$D$17</definedName>
    <definedName name="PerpetualMultiple">'[1]Valuation Overview'!$J$22</definedName>
    <definedName name="price">'Valuation Model'!$G$2</definedName>
    <definedName name="ProfitScenario">[1]Assumptions!$BP$6</definedName>
    <definedName name="ProjectionY1">'[1]Valuation Overview'!$D$7</definedName>
    <definedName name="PSRatioData">[4]Data!$Q$2:$Q$2516</definedName>
    <definedName name="PSRHigh">'Valuation Model'!$P$21</definedName>
    <definedName name="PSRLow">'Valuation Model'!$P$22</definedName>
    <definedName name="rev_best">[3]Control!$L$4</definedName>
    <definedName name="rev_likely">[3]Control!$J$4</definedName>
    <definedName name="rev_worst">[3]Control!$K$4</definedName>
    <definedName name="RevScenario">[1]Assumptions!$BP$4</definedName>
    <definedName name="RiskFree">'[1]Valuation Overview'!$D$13</definedName>
    <definedName name="scaling">'Histogram Data'!$E$1</definedName>
    <definedName name="Scenario1">'Valuation Model'!$G$67</definedName>
    <definedName name="Scenario2">'Valuation Model'!$G$78</definedName>
    <definedName name="Scenario3">'Valuation Model'!$G$89</definedName>
    <definedName name="Scenario4">'Valuation Model'!$G$100</definedName>
    <definedName name="Scenario5">'Valuation Model'!$G$111</definedName>
    <definedName name="Scenario6">'Valuation Model'!$G$122</definedName>
    <definedName name="Scenario7">'Valuation Model'!$G$133</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[3]Control!$L$8</definedName>
    <definedName name="StockPriceData">[4]Data!$K$2:$K$2516</definedName>
    <definedName name="TerminalDayCount">[1]Assumptions!$Z$184</definedName>
    <definedName name="TerminalMethod">'[1]Valuation Overview'!$D$11</definedName>
    <definedName name="ticker">'Valuation Model'!$B$2</definedName>
    <definedName name="ValuationMethod">'[1]Valuation Overview'!$D$11</definedName>
    <definedName name="value1">[5]Model!$J$9</definedName>
    <definedName name="value2">[5]Model!$J$10</definedName>
    <definedName name="value3">[5]Model!$J$11</definedName>
    <definedName name="value4">[5]Model!$J$12</definedName>
    <definedName name="value5">[5]Model!$J$13</definedName>
    <definedName name="value6">[5]Model!$J$14</definedName>
    <definedName name="value7">[5]Model!$J$15</definedName>
    <definedName name="value8">[5]Model!$J$16</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71027"/>
</workbook>
</file>

<file path=xl/calcChain.xml><?xml version="1.0" encoding="utf-8"?>
<calcChain xmlns="http://schemas.openxmlformats.org/spreadsheetml/2006/main">
  <c r="K19" i="19" l="1"/>
  <c r="J19" i="19"/>
  <c r="I19" i="19"/>
  <c r="H19" i="19"/>
  <c r="G19" i="19"/>
  <c r="F19" i="19"/>
  <c r="E19" i="19"/>
  <c r="D19" i="19"/>
  <c r="C19" i="19"/>
  <c r="B19" i="19"/>
  <c r="M33" i="21" l="1"/>
  <c r="N33" i="21"/>
  <c r="O33" i="21"/>
  <c r="P33" i="21"/>
  <c r="M34" i="21"/>
  <c r="N34" i="21"/>
  <c r="O34" i="21"/>
  <c r="P34" i="21"/>
  <c r="L34" i="21"/>
  <c r="L33" i="21"/>
  <c r="G3" i="1" l="1"/>
  <c r="A40" i="21" l="1"/>
  <c r="A39" i="21"/>
  <c r="A38" i="21"/>
  <c r="A37"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l="1"/>
  <c r="M15" i="21"/>
  <c r="N15" i="21"/>
  <c r="O15" i="21"/>
  <c r="P15" i="21"/>
  <c r="M14" i="21"/>
  <c r="N14" i="21"/>
  <c r="O14" i="21"/>
  <c r="P14" i="21"/>
  <c r="L14" i="21"/>
  <c r="L7" i="21"/>
  <c r="M7" i="21"/>
  <c r="N7" i="21"/>
  <c r="O7" i="21"/>
  <c r="P7" i="21"/>
  <c r="M6" i="21"/>
  <c r="N6" i="21"/>
  <c r="O6" i="21"/>
  <c r="P6" i="21"/>
  <c r="L6" i="21"/>
  <c r="C2" i="21" l="1"/>
  <c r="D2" i="21"/>
  <c r="E2" i="21"/>
  <c r="F2" i="21"/>
  <c r="G2" i="21"/>
  <c r="H2" i="21"/>
  <c r="I2" i="21"/>
  <c r="J2" i="21"/>
  <c r="K2" i="21"/>
  <c r="B2" i="21"/>
  <c r="H5" i="21" l="1"/>
  <c r="D5" i="21"/>
  <c r="I5" i="21"/>
  <c r="E5" i="21"/>
  <c r="G5" i="21"/>
  <c r="C5" i="21"/>
  <c r="L4" i="21"/>
  <c r="L12" i="21" s="1"/>
  <c r="L31" i="21" s="1"/>
  <c r="K5" i="21"/>
  <c r="J5" i="21"/>
  <c r="F5" i="21"/>
  <c r="L3" i="21"/>
  <c r="M3" i="21" s="1"/>
  <c r="C2" i="19"/>
  <c r="C1" i="21" s="1"/>
  <c r="D2" i="19"/>
  <c r="D1" i="21" s="1"/>
  <c r="E2" i="19"/>
  <c r="E1" i="21" s="1"/>
  <c r="F2" i="19"/>
  <c r="F1" i="21" s="1"/>
  <c r="G2" i="19"/>
  <c r="G1" i="21" s="1"/>
  <c r="H2" i="19"/>
  <c r="H1" i="21" s="1"/>
  <c r="I2" i="19"/>
  <c r="I1" i="21" s="1"/>
  <c r="J2" i="19"/>
  <c r="J1" i="21" s="1"/>
  <c r="K2" i="19"/>
  <c r="K1" i="21" s="1"/>
  <c r="B2" i="19"/>
  <c r="B1" i="21" s="1"/>
  <c r="M4" i="21" l="1"/>
  <c r="N4" i="21" s="1"/>
  <c r="L11" i="21"/>
  <c r="L30" i="21" s="1"/>
  <c r="K7" i="21"/>
  <c r="K6" i="21"/>
  <c r="N3" i="21"/>
  <c r="M11" i="21"/>
  <c r="M30" i="21" s="1"/>
  <c r="K28" i="21"/>
  <c r="K36" i="21"/>
  <c r="K9" i="21"/>
  <c r="K17" i="21" s="1"/>
  <c r="K21" i="21" s="1"/>
  <c r="L1" i="21"/>
  <c r="J36" i="21"/>
  <c r="J28" i="21"/>
  <c r="J9" i="21"/>
  <c r="J17" i="21" s="1"/>
  <c r="J21" i="21" s="1"/>
  <c r="F28" i="21"/>
  <c r="F36" i="21"/>
  <c r="F9" i="21"/>
  <c r="F17" i="21" s="1"/>
  <c r="F21" i="21" s="1"/>
  <c r="I36" i="21"/>
  <c r="I28" i="21"/>
  <c r="I9" i="21"/>
  <c r="I17" i="21" s="1"/>
  <c r="I21" i="21" s="1"/>
  <c r="E36" i="21"/>
  <c r="E28" i="21"/>
  <c r="E9" i="21"/>
  <c r="E17" i="21" s="1"/>
  <c r="E21" i="21" s="1"/>
  <c r="B36" i="21"/>
  <c r="B28" i="21"/>
  <c r="B9" i="21"/>
  <c r="B17" i="21" s="1"/>
  <c r="B21" i="21" s="1"/>
  <c r="H28" i="21"/>
  <c r="H36" i="21"/>
  <c r="H9" i="21"/>
  <c r="H17" i="21" s="1"/>
  <c r="H21" i="21" s="1"/>
  <c r="D36" i="21"/>
  <c r="D28" i="21"/>
  <c r="D9" i="21"/>
  <c r="D17" i="21" s="1"/>
  <c r="D21" i="21" s="1"/>
  <c r="G28" i="21"/>
  <c r="G36" i="21"/>
  <c r="G9" i="21"/>
  <c r="G17" i="21" s="1"/>
  <c r="G21" i="21" s="1"/>
  <c r="C28" i="21"/>
  <c r="C36" i="21"/>
  <c r="C9" i="21"/>
  <c r="C17" i="21" s="1"/>
  <c r="C21" i="21" s="1"/>
  <c r="K37" i="19"/>
  <c r="K38" i="19" s="1"/>
  <c r="G37" i="19"/>
  <c r="G38" i="19" s="1"/>
  <c r="C37" i="19"/>
  <c r="C38" i="19" s="1"/>
  <c r="K26" i="19"/>
  <c r="K26" i="21" s="1"/>
  <c r="J26" i="19"/>
  <c r="J26" i="21" s="1"/>
  <c r="I26" i="19"/>
  <c r="I26" i="21" s="1"/>
  <c r="H26" i="19"/>
  <c r="H26" i="21" s="1"/>
  <c r="G26" i="19"/>
  <c r="G26" i="21" s="1"/>
  <c r="F26" i="19"/>
  <c r="F26" i="21" s="1"/>
  <c r="E26" i="19"/>
  <c r="E26" i="21" s="1"/>
  <c r="D26" i="19"/>
  <c r="D26" i="21" s="1"/>
  <c r="C26" i="19"/>
  <c r="C26" i="21" s="1"/>
  <c r="B26" i="19"/>
  <c r="B26" i="21" s="1"/>
  <c r="I22" i="21"/>
  <c r="H22" i="21"/>
  <c r="E22" i="21"/>
  <c r="D22" i="21"/>
  <c r="H17" i="19"/>
  <c r="D17" i="19"/>
  <c r="K11" i="19"/>
  <c r="K10" i="21" s="1"/>
  <c r="K37" i="21" s="1"/>
  <c r="J11" i="19"/>
  <c r="I11" i="19"/>
  <c r="H11" i="19"/>
  <c r="H10" i="21" s="1"/>
  <c r="H37" i="21" s="1"/>
  <c r="G11" i="19"/>
  <c r="G10" i="21" s="1"/>
  <c r="G37" i="21" s="1"/>
  <c r="F11" i="19"/>
  <c r="E11" i="19"/>
  <c r="D11" i="19"/>
  <c r="D10" i="21" s="1"/>
  <c r="D37" i="21" s="1"/>
  <c r="C11" i="19"/>
  <c r="C10" i="21" s="1"/>
  <c r="C37" i="21" s="1"/>
  <c r="B11" i="19"/>
  <c r="K8" i="19"/>
  <c r="I8" i="19"/>
  <c r="G8" i="19"/>
  <c r="E8" i="19"/>
  <c r="C8" i="19"/>
  <c r="K6" i="19"/>
  <c r="J6" i="19"/>
  <c r="I6" i="19"/>
  <c r="H6" i="19"/>
  <c r="G6" i="19"/>
  <c r="K5" i="19"/>
  <c r="J5" i="19"/>
  <c r="I5" i="19"/>
  <c r="H5" i="19"/>
  <c r="G5" i="19"/>
  <c r="F5" i="19"/>
  <c r="E5" i="19"/>
  <c r="K4" i="19"/>
  <c r="J4" i="19"/>
  <c r="I4" i="19"/>
  <c r="H4" i="19"/>
  <c r="G4" i="19"/>
  <c r="F4" i="19"/>
  <c r="E4" i="19"/>
  <c r="D4" i="19"/>
  <c r="C4" i="19"/>
  <c r="K17" i="19"/>
  <c r="J37" i="19"/>
  <c r="J38" i="19" s="1"/>
  <c r="I30" i="19"/>
  <c r="H30" i="19"/>
  <c r="G17" i="19"/>
  <c r="F37" i="19"/>
  <c r="F38" i="19" s="1"/>
  <c r="E30" i="19"/>
  <c r="D30" i="19"/>
  <c r="C17" i="19"/>
  <c r="B37" i="19"/>
  <c r="B38" i="19" s="1"/>
  <c r="M12" i="21" l="1"/>
  <c r="M31" i="21" s="1"/>
  <c r="O4" i="21"/>
  <c r="N12" i="21"/>
  <c r="N31" i="21" s="1"/>
  <c r="O3" i="21"/>
  <c r="N11" i="21"/>
  <c r="N30" i="21" s="1"/>
  <c r="L28" i="21"/>
  <c r="L9" i="21"/>
  <c r="M1" i="21"/>
  <c r="C39" i="19"/>
  <c r="B27" i="19"/>
  <c r="B19" i="21" s="1"/>
  <c r="B22" i="21"/>
  <c r="F27" i="19"/>
  <c r="F19" i="21" s="1"/>
  <c r="F22" i="21"/>
  <c r="J27" i="19"/>
  <c r="J19" i="21" s="1"/>
  <c r="J22" i="21"/>
  <c r="C13" i="21"/>
  <c r="C18" i="21"/>
  <c r="G13" i="21"/>
  <c r="G18" i="21"/>
  <c r="K13" i="21"/>
  <c r="K15" i="21" s="1"/>
  <c r="K18" i="21"/>
  <c r="C27" i="19"/>
  <c r="C19" i="21" s="1"/>
  <c r="C22" i="21"/>
  <c r="G27" i="19"/>
  <c r="G19" i="21" s="1"/>
  <c r="G22" i="21"/>
  <c r="K27" i="19"/>
  <c r="K19" i="21" s="1"/>
  <c r="K22" i="21"/>
  <c r="D13" i="21"/>
  <c r="D18" i="21"/>
  <c r="H13" i="21"/>
  <c r="H18" i="21"/>
  <c r="G12" i="19"/>
  <c r="I15" i="19"/>
  <c r="I44" i="19" s="1"/>
  <c r="E10" i="21"/>
  <c r="E37" i="21" s="1"/>
  <c r="I13" i="19"/>
  <c r="I40" i="19" s="1"/>
  <c r="I10" i="21"/>
  <c r="I37" i="21" s="1"/>
  <c r="K12" i="19"/>
  <c r="B12" i="19"/>
  <c r="B10" i="21"/>
  <c r="B37" i="21" s="1"/>
  <c r="B38" i="21" s="1"/>
  <c r="F12" i="19"/>
  <c r="F10" i="21"/>
  <c r="F37" i="21" s="1"/>
  <c r="J12" i="19"/>
  <c r="J10" i="21"/>
  <c r="J37" i="21" s="1"/>
  <c r="D27" i="19"/>
  <c r="H27" i="19"/>
  <c r="H19" i="21" s="1"/>
  <c r="F14" i="19"/>
  <c r="F42" i="19" s="1"/>
  <c r="J14" i="19"/>
  <c r="J42" i="19" s="1"/>
  <c r="C12" i="19"/>
  <c r="E27" i="19"/>
  <c r="E31" i="19" s="1"/>
  <c r="E29" i="21" s="1"/>
  <c r="E32" i="21" s="1"/>
  <c r="I27" i="19"/>
  <c r="K39" i="19"/>
  <c r="G39" i="19"/>
  <c r="F13" i="19"/>
  <c r="F40" i="19" s="1"/>
  <c r="J15" i="19"/>
  <c r="J44" i="19" s="1"/>
  <c r="D8" i="19"/>
  <c r="H8" i="19"/>
  <c r="D12" i="19"/>
  <c r="H12" i="19"/>
  <c r="C13" i="19"/>
  <c r="C40" i="19" s="1"/>
  <c r="G13" i="19"/>
  <c r="G40" i="19" s="1"/>
  <c r="K13" i="19"/>
  <c r="K40" i="19" s="1"/>
  <c r="H14" i="19"/>
  <c r="H42" i="19" s="1"/>
  <c r="G15" i="19"/>
  <c r="G44" i="19" s="1"/>
  <c r="K15" i="19"/>
  <c r="K44" i="19" s="1"/>
  <c r="E17" i="19"/>
  <c r="I17" i="19"/>
  <c r="C30" i="19"/>
  <c r="G30" i="19"/>
  <c r="K30" i="19"/>
  <c r="D37" i="19"/>
  <c r="D38" i="19" s="1"/>
  <c r="D39" i="19" s="1"/>
  <c r="H37" i="19"/>
  <c r="H38" i="19" s="1"/>
  <c r="E14" i="19"/>
  <c r="E42" i="19" s="1"/>
  <c r="I14" i="19"/>
  <c r="I42" i="19" s="1"/>
  <c r="H15" i="19"/>
  <c r="H44" i="19" s="1"/>
  <c r="B17" i="19"/>
  <c r="F17" i="19"/>
  <c r="J17" i="19"/>
  <c r="B31" i="19"/>
  <c r="E37" i="19"/>
  <c r="E38" i="19" s="1"/>
  <c r="I37" i="19"/>
  <c r="I38" i="19" s="1"/>
  <c r="J39" i="19" s="1"/>
  <c r="J13" i="19"/>
  <c r="J40" i="19" s="1"/>
  <c r="G14" i="19"/>
  <c r="G42" i="19" s="1"/>
  <c r="K14" i="19"/>
  <c r="K42" i="19" s="1"/>
  <c r="B30" i="19"/>
  <c r="F30" i="19"/>
  <c r="J30" i="19"/>
  <c r="E12" i="19"/>
  <c r="I12" i="19"/>
  <c r="D13" i="19"/>
  <c r="D40" i="19" s="1"/>
  <c r="H13" i="19"/>
  <c r="H40" i="19" s="1"/>
  <c r="B8" i="19"/>
  <c r="F8" i="19"/>
  <c r="J8" i="19"/>
  <c r="E13" i="19"/>
  <c r="E40" i="19" s="1"/>
  <c r="H9" i="17"/>
  <c r="H11" i="17"/>
  <c r="H7" i="17"/>
  <c r="G7" i="17"/>
  <c r="G9" i="17"/>
  <c r="G11" i="17"/>
  <c r="G6" i="17"/>
  <c r="G8" i="17"/>
  <c r="G10" i="17"/>
  <c r="G12" i="17"/>
  <c r="G5" i="17"/>
  <c r="H5" i="17"/>
  <c r="C2" i="1"/>
  <c r="H6" i="17"/>
  <c r="H10" i="17"/>
  <c r="H8" i="17"/>
  <c r="H12" i="17"/>
  <c r="J7" i="17"/>
  <c r="B28" i="19" l="1"/>
  <c r="G28" i="19"/>
  <c r="F31" i="19"/>
  <c r="F29" i="21" s="1"/>
  <c r="F32" i="21" s="1"/>
  <c r="G31" i="19"/>
  <c r="G32" i="19" s="1"/>
  <c r="C31" i="19"/>
  <c r="C32" i="19" s="1"/>
  <c r="F28" i="19"/>
  <c r="K14" i="21"/>
  <c r="J31" i="19"/>
  <c r="J29" i="21" s="1"/>
  <c r="J32" i="21" s="1"/>
  <c r="K28" i="19"/>
  <c r="K31" i="19"/>
  <c r="K29" i="21" s="1"/>
  <c r="K32" i="21" s="1"/>
  <c r="K33" i="21" s="1"/>
  <c r="H31" i="19"/>
  <c r="H29" i="21" s="1"/>
  <c r="H32" i="21" s="1"/>
  <c r="C28" i="19"/>
  <c r="J28" i="19"/>
  <c r="G39" i="21"/>
  <c r="J39" i="21"/>
  <c r="B32" i="19"/>
  <c r="B29" i="21"/>
  <c r="B32" i="21" s="1"/>
  <c r="D39" i="21"/>
  <c r="C29" i="21"/>
  <c r="C32" i="21" s="1"/>
  <c r="K39" i="21"/>
  <c r="P3" i="21"/>
  <c r="P11" i="21" s="1"/>
  <c r="P30" i="21" s="1"/>
  <c r="O11" i="21"/>
  <c r="O30" i="21" s="1"/>
  <c r="P4" i="21"/>
  <c r="P12" i="21" s="1"/>
  <c r="P31" i="21" s="1"/>
  <c r="O12" i="21"/>
  <c r="O31" i="21" s="1"/>
  <c r="C39" i="21"/>
  <c r="C38" i="21"/>
  <c r="D38" i="21" s="1"/>
  <c r="N1" i="21"/>
  <c r="M28" i="21"/>
  <c r="M9" i="21"/>
  <c r="I28" i="19"/>
  <c r="I19" i="21"/>
  <c r="F13" i="21"/>
  <c r="F18" i="21"/>
  <c r="E28" i="19"/>
  <c r="E19" i="21"/>
  <c r="I31" i="19"/>
  <c r="I29" i="21" s="1"/>
  <c r="I32" i="21" s="1"/>
  <c r="H28" i="19"/>
  <c r="D28" i="19"/>
  <c r="D19" i="21"/>
  <c r="J13" i="21"/>
  <c r="J18" i="21"/>
  <c r="B13" i="21"/>
  <c r="B18" i="21"/>
  <c r="E13" i="21"/>
  <c r="E18" i="21"/>
  <c r="I13" i="21"/>
  <c r="I18" i="21"/>
  <c r="D31" i="19"/>
  <c r="D33" i="19" s="1"/>
  <c r="J43" i="19"/>
  <c r="I41" i="19"/>
  <c r="I40" i="21" s="1"/>
  <c r="G43" i="19"/>
  <c r="K43" i="19"/>
  <c r="E41" i="19"/>
  <c r="E40" i="21" s="1"/>
  <c r="J41" i="19"/>
  <c r="J40" i="21" s="1"/>
  <c r="H39" i="19"/>
  <c r="H39" i="21" s="1"/>
  <c r="K41" i="19"/>
  <c r="K40" i="21" s="1"/>
  <c r="I39" i="19"/>
  <c r="I39" i="21" s="1"/>
  <c r="H43" i="19"/>
  <c r="F41" i="19"/>
  <c r="F40" i="21" s="1"/>
  <c r="C33" i="19"/>
  <c r="G41" i="19"/>
  <c r="G40" i="21" s="1"/>
  <c r="E39" i="19"/>
  <c r="E39" i="21" s="1"/>
  <c r="I43" i="19"/>
  <c r="F39" i="19"/>
  <c r="F39" i="21" s="1"/>
  <c r="E32" i="19"/>
  <c r="H41" i="19"/>
  <c r="H40" i="21" s="1"/>
  <c r="E8" i="17"/>
  <c r="E7" i="17"/>
  <c r="E6" i="17"/>
  <c r="E12" i="17"/>
  <c r="E10" i="17"/>
  <c r="E11" i="17"/>
  <c r="E9" i="17"/>
  <c r="E5" i="17"/>
  <c r="J8" i="17"/>
  <c r="F33" i="19" l="1"/>
  <c r="E33" i="19"/>
  <c r="F32" i="19"/>
  <c r="H33" i="19"/>
  <c r="G29" i="21"/>
  <c r="G32" i="21" s="1"/>
  <c r="G33" i="19"/>
  <c r="G34" i="19"/>
  <c r="J32" i="19"/>
  <c r="H32" i="19"/>
  <c r="K34" i="19"/>
  <c r="J34" i="19"/>
  <c r="H34" i="19"/>
  <c r="H35" i="19"/>
  <c r="K32" i="19"/>
  <c r="E34" i="19"/>
  <c r="K33" i="19"/>
  <c r="J33" i="19"/>
  <c r="K34" i="21"/>
  <c r="F34" i="19"/>
  <c r="D29" i="21"/>
  <c r="D32" i="21" s="1"/>
  <c r="I34" i="19"/>
  <c r="I35" i="19"/>
  <c r="G35" i="19"/>
  <c r="I33" i="19"/>
  <c r="J35" i="19"/>
  <c r="K35" i="19"/>
  <c r="I32" i="19"/>
  <c r="O1" i="21"/>
  <c r="N28" i="21"/>
  <c r="N9" i="21"/>
  <c r="E38" i="21"/>
  <c r="F38" i="21" s="1"/>
  <c r="G38" i="21" s="1"/>
  <c r="H38" i="21" s="1"/>
  <c r="I38" i="21" s="1"/>
  <c r="J38" i="21" s="1"/>
  <c r="K38" i="21" s="1"/>
  <c r="D32" i="19"/>
  <c r="J9" i="17"/>
  <c r="P1" i="21" l="1"/>
  <c r="O28" i="21"/>
  <c r="O9" i="21"/>
  <c r="J10" i="17"/>
  <c r="P28" i="21" l="1"/>
  <c r="P9" i="21"/>
  <c r="J11" i="17"/>
  <c r="J12" i="17" l="1"/>
  <c r="J13" i="17" l="1"/>
  <c r="J14" i="17" l="1"/>
  <c r="J15" i="17" l="1"/>
  <c r="J16" i="17" l="1"/>
  <c r="J17" i="17" l="1"/>
  <c r="J18" i="17" l="1"/>
  <c r="J19" i="17" l="1"/>
  <c r="J20" i="17" l="1"/>
  <c r="J21" i="17" l="1"/>
  <c r="J22" i="17" l="1"/>
  <c r="J23" i="17" l="1"/>
  <c r="J24" i="17" l="1"/>
  <c r="J25" i="17" l="1"/>
  <c r="J26" i="17" l="1"/>
  <c r="J27" i="17" l="1"/>
  <c r="J28" i="17" l="1"/>
  <c r="J29" i="17" l="1"/>
  <c r="J30" i="17" l="1"/>
  <c r="J31" i="17" l="1"/>
  <c r="J32" i="17" l="1"/>
  <c r="J33" i="17" l="1"/>
  <c r="J34" i="17" l="1"/>
  <c r="J35" i="17" l="1"/>
  <c r="J36" i="17" l="1"/>
  <c r="J37" i="17" l="1"/>
  <c r="J38" i="17" l="1"/>
  <c r="J39" i="17" l="1"/>
  <c r="J40" i="17" l="1"/>
  <c r="J41" i="17" l="1"/>
  <c r="J42" i="17" l="1"/>
  <c r="J43" i="17" l="1"/>
  <c r="B51" i="1"/>
  <c r="J44" i="17" l="1"/>
  <c r="B45" i="1"/>
  <c r="B46" i="1"/>
  <c r="J45" i="17" l="1"/>
  <c r="C25" i="1"/>
  <c r="C42" i="1" s="1"/>
  <c r="D25" i="1"/>
  <c r="D42" i="1" s="1"/>
  <c r="E25" i="1"/>
  <c r="E42" i="1" s="1"/>
  <c r="F25" i="1"/>
  <c r="B47" i="1" s="1"/>
  <c r="B48" i="1" s="1"/>
  <c r="B25" i="1"/>
  <c r="B42" i="1" s="1"/>
  <c r="B136" i="1"/>
  <c r="B125" i="1"/>
  <c r="B114" i="1"/>
  <c r="B103" i="1"/>
  <c r="B92" i="1"/>
  <c r="B81" i="1"/>
  <c r="B70" i="1"/>
  <c r="B58" i="1"/>
  <c r="B37" i="1"/>
  <c r="B38" i="1"/>
  <c r="B36" i="1"/>
  <c r="J46" i="17" l="1"/>
  <c r="I11" i="1"/>
  <c r="B26" i="1"/>
  <c r="B27" i="1" s="1"/>
  <c r="B28" i="1" s="1"/>
  <c r="J47" i="17" l="1"/>
  <c r="I9" i="1"/>
  <c r="B12" i="17" s="1"/>
  <c r="I8" i="1"/>
  <c r="B11" i="17" s="1"/>
  <c r="I7" i="1"/>
  <c r="B8" i="17" s="1"/>
  <c r="I6" i="1"/>
  <c r="B7" i="17" s="1"/>
  <c r="I2" i="1"/>
  <c r="B5" i="17" s="1"/>
  <c r="I4" i="1"/>
  <c r="B9" i="17" s="1"/>
  <c r="I5" i="1"/>
  <c r="B10" i="17" s="1"/>
  <c r="I3" i="1"/>
  <c r="B6" i="17" s="1"/>
  <c r="J48" i="17" l="1"/>
  <c r="B137" i="1"/>
  <c r="B138" i="1" s="1"/>
  <c r="B126" i="1"/>
  <c r="B127" i="1" s="1"/>
  <c r="C114" i="1"/>
  <c r="D114" i="1" s="1"/>
  <c r="E114" i="1" s="1"/>
  <c r="F114" i="1" s="1"/>
  <c r="C103" i="1"/>
  <c r="D103" i="1" s="1"/>
  <c r="E103" i="1" s="1"/>
  <c r="F103" i="1" s="1"/>
  <c r="B93" i="1"/>
  <c r="B94" i="1" s="1"/>
  <c r="B59" i="1"/>
  <c r="B61" i="1" s="1"/>
  <c r="D18" i="1"/>
  <c r="D17" i="1"/>
  <c r="E21" i="1"/>
  <c r="J49" i="17" l="1"/>
  <c r="F129" i="1"/>
  <c r="F118" i="1"/>
  <c r="F107" i="1"/>
  <c r="F140" i="1"/>
  <c r="F63" i="1"/>
  <c r="B52" i="1"/>
  <c r="B53" i="1"/>
  <c r="F85" i="1"/>
  <c r="F74" i="1"/>
  <c r="F96" i="1"/>
  <c r="C136" i="1"/>
  <c r="C137" i="1" s="1"/>
  <c r="C138" i="1" s="1"/>
  <c r="C125" i="1"/>
  <c r="B115" i="1"/>
  <c r="B116" i="1" s="1"/>
  <c r="B104" i="1"/>
  <c r="B105" i="1" s="1"/>
  <c r="C92" i="1"/>
  <c r="C93" i="1" s="1"/>
  <c r="C94" i="1" s="1"/>
  <c r="B82" i="1"/>
  <c r="B83" i="1" s="1"/>
  <c r="B60" i="1"/>
  <c r="C81" i="1"/>
  <c r="C82" i="1" s="1"/>
  <c r="C83" i="1" s="1"/>
  <c r="C58" i="1"/>
  <c r="D58" i="1" s="1"/>
  <c r="C26" i="1"/>
  <c r="D26" i="1" s="1"/>
  <c r="E26" i="1" s="1"/>
  <c r="F26" i="1" s="1"/>
  <c r="L16" i="1" s="1"/>
  <c r="J50" i="17" l="1"/>
  <c r="B54" i="1"/>
  <c r="C126" i="1"/>
  <c r="C127" i="1" s="1"/>
  <c r="D136" i="1"/>
  <c r="D137" i="1" s="1"/>
  <c r="D138" i="1" s="1"/>
  <c r="D125" i="1"/>
  <c r="C115" i="1"/>
  <c r="C116" i="1" s="1"/>
  <c r="C104" i="1"/>
  <c r="C105" i="1" s="1"/>
  <c r="D92" i="1"/>
  <c r="D93" i="1" s="1"/>
  <c r="D94" i="1" s="1"/>
  <c r="D81" i="1"/>
  <c r="D82" i="1" s="1"/>
  <c r="D83" i="1" s="1"/>
  <c r="B71" i="1"/>
  <c r="B72" i="1" s="1"/>
  <c r="C70" i="1"/>
  <c r="C59" i="1"/>
  <c r="C61" i="1" s="1"/>
  <c r="F42" i="1"/>
  <c r="C27" i="1"/>
  <c r="C28" i="1" s="1"/>
  <c r="F27" i="1"/>
  <c r="F28" i="1" s="1"/>
  <c r="D27" i="1"/>
  <c r="D28" i="1" s="1"/>
  <c r="E27" i="1"/>
  <c r="E28" i="1" s="1"/>
  <c r="J51" i="17" l="1"/>
  <c r="B128" i="1"/>
  <c r="B62" i="1"/>
  <c r="C128" i="1"/>
  <c r="B139" i="1"/>
  <c r="B73" i="1"/>
  <c r="B117" i="1"/>
  <c r="B95" i="1"/>
  <c r="C95" i="1"/>
  <c r="C117" i="1"/>
  <c r="B84" i="1"/>
  <c r="B106" i="1"/>
  <c r="C139" i="1"/>
  <c r="D126" i="1"/>
  <c r="D127" i="1" s="1"/>
  <c r="E136" i="1"/>
  <c r="E137" i="1" s="1"/>
  <c r="E138" i="1" s="1"/>
  <c r="D139" i="1"/>
  <c r="E125" i="1"/>
  <c r="D115" i="1"/>
  <c r="D104" i="1"/>
  <c r="D105" i="1" s="1"/>
  <c r="C106" i="1"/>
  <c r="E92" i="1"/>
  <c r="E93" i="1" s="1"/>
  <c r="E94" i="1" s="1"/>
  <c r="D95" i="1"/>
  <c r="C62" i="1"/>
  <c r="C60" i="1"/>
  <c r="E81" i="1"/>
  <c r="E82" i="1" s="1"/>
  <c r="E83" i="1" s="1"/>
  <c r="C84" i="1"/>
  <c r="C71" i="1"/>
  <c r="D70" i="1"/>
  <c r="E58" i="1"/>
  <c r="D59" i="1"/>
  <c r="D61" i="1" s="1"/>
  <c r="J52" i="17" l="1"/>
  <c r="D116" i="1"/>
  <c r="D117" i="1" s="1"/>
  <c r="C72" i="1"/>
  <c r="C73" i="1" s="1"/>
  <c r="D128" i="1"/>
  <c r="E126" i="1"/>
  <c r="E127" i="1" s="1"/>
  <c r="E139" i="1"/>
  <c r="F136" i="1"/>
  <c r="F125" i="1"/>
  <c r="E115" i="1"/>
  <c r="F115" i="1"/>
  <c r="E104" i="1"/>
  <c r="E105" i="1" s="1"/>
  <c r="D106" i="1"/>
  <c r="E95" i="1"/>
  <c r="F92" i="1"/>
  <c r="D62" i="1"/>
  <c r="D60" i="1"/>
  <c r="D84" i="1"/>
  <c r="F81" i="1"/>
  <c r="F82" i="1" s="1"/>
  <c r="F83" i="1" s="1"/>
  <c r="D71" i="1"/>
  <c r="E70" i="1"/>
  <c r="F58" i="1"/>
  <c r="E59" i="1"/>
  <c r="E61" i="1" s="1"/>
  <c r="J53" i="17" l="1"/>
  <c r="D72" i="1"/>
  <c r="D73" i="1" s="1"/>
  <c r="F116" i="1"/>
  <c r="F119" i="1" s="1"/>
  <c r="F120" i="1" s="1"/>
  <c r="G120" i="1" s="1"/>
  <c r="E116" i="1"/>
  <c r="E117" i="1" s="1"/>
  <c r="E128" i="1"/>
  <c r="F137" i="1"/>
  <c r="F138" i="1" s="1"/>
  <c r="F126" i="1"/>
  <c r="F127" i="1" s="1"/>
  <c r="F93" i="1"/>
  <c r="F94" i="1" s="1"/>
  <c r="F104" i="1"/>
  <c r="F105" i="1" s="1"/>
  <c r="E106" i="1"/>
  <c r="E62" i="1"/>
  <c r="E60" i="1"/>
  <c r="E84" i="1"/>
  <c r="E71" i="1"/>
  <c r="F70" i="1"/>
  <c r="F59" i="1"/>
  <c r="F61" i="1" s="1"/>
  <c r="J54" i="17" l="1"/>
  <c r="F117" i="1"/>
  <c r="G117" i="1" s="1"/>
  <c r="E72" i="1"/>
  <c r="E73" i="1" s="1"/>
  <c r="F139" i="1"/>
  <c r="G140" i="1" s="1"/>
  <c r="F141" i="1"/>
  <c r="F142" i="1" s="1"/>
  <c r="G142" i="1" s="1"/>
  <c r="F97" i="1"/>
  <c r="F98" i="1" s="1"/>
  <c r="G98" i="1" s="1"/>
  <c r="F95" i="1"/>
  <c r="G96" i="1" s="1"/>
  <c r="F62" i="1"/>
  <c r="F60" i="1"/>
  <c r="F84" i="1"/>
  <c r="F71" i="1"/>
  <c r="F72" i="1" s="1"/>
  <c r="J55" i="17" l="1"/>
  <c r="G118" i="1"/>
  <c r="G121" i="1" s="1"/>
  <c r="G122" i="1" s="1"/>
  <c r="G139" i="1"/>
  <c r="G143" i="1" s="1"/>
  <c r="G144" i="1" s="1"/>
  <c r="F130" i="1"/>
  <c r="F131" i="1" s="1"/>
  <c r="G131" i="1" s="1"/>
  <c r="F128" i="1"/>
  <c r="G95" i="1"/>
  <c r="G99" i="1" s="1"/>
  <c r="G100" i="1" s="1"/>
  <c r="F108" i="1"/>
  <c r="F109" i="1" s="1"/>
  <c r="G109" i="1" s="1"/>
  <c r="F106" i="1"/>
  <c r="F64" i="1"/>
  <c r="F65" i="1" s="1"/>
  <c r="G65" i="1" s="1"/>
  <c r="G63" i="1"/>
  <c r="F75" i="1"/>
  <c r="F76" i="1" s="1"/>
  <c r="G76" i="1" s="1"/>
  <c r="F73" i="1"/>
  <c r="F86" i="1"/>
  <c r="F87" i="1" s="1"/>
  <c r="G87" i="1" s="1"/>
  <c r="K9" i="1" l="1"/>
  <c r="C12" i="17" s="1"/>
  <c r="K7" i="1"/>
  <c r="C8" i="17" s="1"/>
  <c r="K5" i="1"/>
  <c r="C10" i="17" s="1"/>
  <c r="G128" i="1"/>
  <c r="G129" i="1"/>
  <c r="G107" i="1"/>
  <c r="G106" i="1"/>
  <c r="G62" i="1"/>
  <c r="G66" i="1" s="1"/>
  <c r="G67" i="1" s="1"/>
  <c r="K2" i="1" s="1"/>
  <c r="C5" i="17" s="1"/>
  <c r="G85" i="1"/>
  <c r="G84" i="1"/>
  <c r="G74" i="1"/>
  <c r="G73" i="1"/>
  <c r="G132" i="1" l="1"/>
  <c r="G133" i="1" s="1"/>
  <c r="G110" i="1"/>
  <c r="G111" i="1" s="1"/>
  <c r="G88" i="1"/>
  <c r="G89" i="1" s="1"/>
  <c r="G77" i="1"/>
  <c r="G78" i="1" s="1"/>
  <c r="K8" i="1" l="1"/>
  <c r="C11" i="17" s="1"/>
  <c r="K6" i="1"/>
  <c r="C7" i="17" s="1"/>
  <c r="K4" i="1"/>
  <c r="C9" i="17" s="1"/>
  <c r="K3" i="1"/>
  <c r="C6" i="17" s="1"/>
  <c r="F29" i="1"/>
  <c r="B49" i="1" s="1"/>
  <c r="B50" i="1" s="1"/>
  <c r="D29" i="1"/>
  <c r="D43" i="1" s="1"/>
  <c r="C29" i="1"/>
  <c r="C43" i="1" s="1"/>
  <c r="B29" i="1"/>
  <c r="B43" i="1" s="1"/>
  <c r="E29" i="1"/>
  <c r="E43" i="1" s="1"/>
  <c r="B2" i="17" l="1"/>
  <c r="B1" i="17"/>
  <c r="K5" i="17" s="1"/>
  <c r="L17" i="1"/>
  <c r="F43" i="1"/>
  <c r="C21" i="1" s="1"/>
  <c r="K55" i="17" l="1"/>
  <c r="N55" i="17" s="1"/>
  <c r="O55" i="17" s="1"/>
  <c r="K53" i="17"/>
  <c r="N53" i="17" s="1"/>
  <c r="O53" i="17" s="1"/>
  <c r="K49" i="17"/>
  <c r="N49" i="17" s="1"/>
  <c r="O49" i="17" s="1"/>
  <c r="K45" i="17"/>
  <c r="N45" i="17" s="1"/>
  <c r="O45" i="17" s="1"/>
  <c r="K47" i="17"/>
  <c r="N47" i="17" s="1"/>
  <c r="O47" i="17" s="1"/>
  <c r="K51" i="17"/>
  <c r="N51" i="17" s="1"/>
  <c r="O51" i="17" s="1"/>
  <c r="K43" i="17"/>
  <c r="N43" i="17" s="1"/>
  <c r="O43" i="17" s="1"/>
  <c r="K41" i="17"/>
  <c r="N41" i="17" s="1"/>
  <c r="O41" i="17" s="1"/>
  <c r="K37" i="17"/>
  <c r="N37" i="17" s="1"/>
  <c r="O37" i="17" s="1"/>
  <c r="K39" i="17"/>
  <c r="N39" i="17" s="1"/>
  <c r="O39" i="17" s="1"/>
  <c r="K35" i="17"/>
  <c r="N35" i="17" s="1"/>
  <c r="O35" i="17" s="1"/>
  <c r="K33" i="17"/>
  <c r="N33" i="17" s="1"/>
  <c r="O33" i="17" s="1"/>
  <c r="K29" i="17"/>
  <c r="N29" i="17" s="1"/>
  <c r="O29" i="17" s="1"/>
  <c r="K25" i="17"/>
  <c r="N25" i="17" s="1"/>
  <c r="O25" i="17" s="1"/>
  <c r="K52" i="17"/>
  <c r="N52" i="17" s="1"/>
  <c r="O52" i="17" s="1"/>
  <c r="K48" i="17"/>
  <c r="N48" i="17" s="1"/>
  <c r="O48" i="17" s="1"/>
  <c r="K44" i="17"/>
  <c r="N44" i="17" s="1"/>
  <c r="O44" i="17" s="1"/>
  <c r="K40" i="17"/>
  <c r="N40" i="17" s="1"/>
  <c r="O40" i="17" s="1"/>
  <c r="K36" i="17"/>
  <c r="N36" i="17" s="1"/>
  <c r="O36" i="17" s="1"/>
  <c r="K32" i="17"/>
  <c r="N32" i="17" s="1"/>
  <c r="O32" i="17" s="1"/>
  <c r="K28" i="17"/>
  <c r="N28" i="17" s="1"/>
  <c r="O28" i="17" s="1"/>
  <c r="K24" i="17"/>
  <c r="N24" i="17" s="1"/>
  <c r="O24" i="17" s="1"/>
  <c r="K27" i="17"/>
  <c r="N27" i="17" s="1"/>
  <c r="O27" i="17" s="1"/>
  <c r="K23" i="17"/>
  <c r="N23" i="17" s="1"/>
  <c r="O23" i="17" s="1"/>
  <c r="K31" i="17"/>
  <c r="N31" i="17" s="1"/>
  <c r="O31" i="17" s="1"/>
  <c r="K54" i="17"/>
  <c r="N54" i="17" s="1"/>
  <c r="O54" i="17" s="1"/>
  <c r="K50" i="17"/>
  <c r="N50" i="17" s="1"/>
  <c r="O50" i="17" s="1"/>
  <c r="K46" i="17"/>
  <c r="N46" i="17" s="1"/>
  <c r="O46" i="17" s="1"/>
  <c r="K42" i="17"/>
  <c r="N42" i="17" s="1"/>
  <c r="O42" i="17" s="1"/>
  <c r="K38" i="17"/>
  <c r="N38" i="17" s="1"/>
  <c r="O38" i="17" s="1"/>
  <c r="K34" i="17"/>
  <c r="N34" i="17" s="1"/>
  <c r="O34" i="17" s="1"/>
  <c r="K30" i="17"/>
  <c r="N30" i="17" s="1"/>
  <c r="O30" i="17" s="1"/>
  <c r="K26" i="17"/>
  <c r="N26" i="17" s="1"/>
  <c r="O26" i="17" s="1"/>
  <c r="K20" i="17"/>
  <c r="N20" i="17" s="1"/>
  <c r="O20" i="17" s="1"/>
  <c r="K17" i="17"/>
  <c r="N17" i="17" s="1"/>
  <c r="O17" i="17" s="1"/>
  <c r="K22" i="17"/>
  <c r="N22" i="17" s="1"/>
  <c r="O22" i="17" s="1"/>
  <c r="K16" i="17"/>
  <c r="N16" i="17" s="1"/>
  <c r="O16" i="17" s="1"/>
  <c r="K21" i="17"/>
  <c r="N21" i="17" s="1"/>
  <c r="O21" i="17" s="1"/>
  <c r="K13" i="17"/>
  <c r="N13" i="17" s="1"/>
  <c r="O13" i="17" s="1"/>
  <c r="K12" i="17"/>
  <c r="N12" i="17" s="1"/>
  <c r="O12" i="17" s="1"/>
  <c r="K19" i="17"/>
  <c r="N19" i="17" s="1"/>
  <c r="O19" i="17" s="1"/>
  <c r="K15" i="17"/>
  <c r="N15" i="17" s="1"/>
  <c r="O15" i="17" s="1"/>
  <c r="K11" i="17"/>
  <c r="N11" i="17" s="1"/>
  <c r="O11" i="17" s="1"/>
  <c r="K18" i="17"/>
  <c r="N18" i="17" s="1"/>
  <c r="O18" i="17" s="1"/>
  <c r="K14" i="17"/>
  <c r="N14" i="17" s="1"/>
  <c r="O14" i="17" s="1"/>
  <c r="K8" i="17"/>
  <c r="N8" i="17" s="1"/>
  <c r="O8" i="17" s="1"/>
  <c r="K7" i="17"/>
  <c r="N7" i="17" s="1"/>
  <c r="O7" i="17" s="1"/>
  <c r="K10" i="17"/>
  <c r="N10" i="17" s="1"/>
  <c r="O10" i="17" s="1"/>
  <c r="K6" i="17"/>
  <c r="N6" i="17" s="1"/>
  <c r="O6" i="17" s="1"/>
  <c r="K9" i="17"/>
  <c r="N9" i="17" s="1"/>
  <c r="O9" i="17" s="1"/>
  <c r="N5" i="17"/>
  <c r="O5" i="17" s="1"/>
  <c r="D21" i="1"/>
  <c r="B21" i="1"/>
  <c r="D5" i="17" l="1"/>
  <c r="D12" i="17"/>
  <c r="D9" i="17"/>
  <c r="D10" i="17"/>
  <c r="D11" i="17"/>
  <c r="D8" i="17"/>
  <c r="D6" i="17"/>
  <c r="D7" i="17"/>
  <c r="F21" i="1"/>
  <c r="L18" i="1" s="1"/>
  <c r="L35" i="17" l="1"/>
  <c r="L25" i="17"/>
  <c r="M35" i="17"/>
  <c r="M51" i="17"/>
  <c r="L45" i="17"/>
  <c r="L14" i="17"/>
  <c r="M6" i="17"/>
  <c r="L27" i="17"/>
  <c r="M8" i="17"/>
  <c r="M50" i="17"/>
  <c r="M46" i="17"/>
  <c r="L36" i="17"/>
  <c r="L40" i="17"/>
  <c r="L16" i="17"/>
  <c r="L10" i="17"/>
  <c r="M53" i="17"/>
  <c r="L44" i="17"/>
  <c r="M15" i="17"/>
  <c r="M32" i="17"/>
  <c r="M30" i="17"/>
  <c r="L51" i="17"/>
  <c r="L8" i="17"/>
  <c r="L26" i="17"/>
  <c r="L42" i="17"/>
  <c r="M13" i="17"/>
  <c r="L47" i="17"/>
  <c r="L43" i="17"/>
  <c r="M7" i="17"/>
  <c r="L48" i="17"/>
  <c r="L37" i="17"/>
  <c r="L15" i="17"/>
  <c r="L24" i="17"/>
  <c r="M48" i="17"/>
  <c r="L11" i="17"/>
  <c r="M5" i="17"/>
  <c r="M28" i="17"/>
  <c r="M31" i="17"/>
  <c r="L17" i="17"/>
  <c r="M11" i="17"/>
  <c r="L23" i="17"/>
  <c r="L55" i="17"/>
  <c r="M19" i="17"/>
  <c r="M10" i="17"/>
  <c r="L49" i="17"/>
  <c r="M17" i="17"/>
  <c r="M44" i="17"/>
  <c r="M39" i="17"/>
  <c r="L30" i="17"/>
  <c r="L54" i="17"/>
  <c r="L21" i="17"/>
  <c r="M38" i="17"/>
  <c r="M47" i="17"/>
  <c r="L19" i="17"/>
  <c r="M21" i="17"/>
  <c r="L38" i="17"/>
  <c r="M45" i="17"/>
  <c r="L53" i="17"/>
  <c r="L13" i="17"/>
  <c r="M54" i="17"/>
  <c r="L5" i="17"/>
  <c r="L9" i="17"/>
  <c r="M43" i="17"/>
  <c r="M14" i="17"/>
  <c r="M37" i="17"/>
  <c r="L50" i="17"/>
  <c r="L33" i="17"/>
  <c r="L12" i="17"/>
  <c r="L39" i="17"/>
  <c r="L7" i="17"/>
  <c r="M22" i="17"/>
  <c r="L28" i="17"/>
  <c r="M29" i="17"/>
  <c r="M24" i="17"/>
  <c r="L46" i="17"/>
  <c r="M12" i="17"/>
  <c r="M23" i="17"/>
  <c r="M26" i="17"/>
  <c r="M40" i="17"/>
  <c r="M49" i="17"/>
  <c r="L32" i="17"/>
  <c r="M52" i="17"/>
  <c r="M16" i="17"/>
  <c r="M27" i="17"/>
  <c r="L18" i="17"/>
  <c r="M20" i="17"/>
  <c r="L41" i="17"/>
  <c r="M9" i="17"/>
  <c r="L22" i="17"/>
  <c r="M34" i="17"/>
  <c r="M36" i="17"/>
  <c r="L20" i="17"/>
  <c r="L31" i="17"/>
  <c r="M18" i="17"/>
  <c r="M33" i="17"/>
  <c r="M41" i="17"/>
  <c r="L52" i="17"/>
  <c r="L34" i="17"/>
  <c r="M25" i="17"/>
  <c r="M55" i="17"/>
  <c r="L6" i="17"/>
  <c r="L29" i="17"/>
  <c r="M42" i="17"/>
  <c r="D22" i="1"/>
  <c r="C22" i="1"/>
  <c r="E22" i="1"/>
  <c r="B22" i="1"/>
  <c r="I12" i="1"/>
</calcChain>
</file>

<file path=xl/comments1.xml><?xml version="1.0" encoding="utf-8"?>
<comments xmlns="http://schemas.openxmlformats.org/spreadsheetml/2006/main">
  <authors>
    <author>Erik Kobayashi-Solomon</author>
  </authors>
  <commentList>
    <comment ref="I1" authorId="0" shapeId="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text>
        <r>
          <rPr>
            <b/>
            <sz val="9"/>
            <color indexed="81"/>
            <rFont val="Tahoma"/>
            <family val="2"/>
          </rPr>
          <t>Erik Kobayashi-Solomon:</t>
        </r>
        <r>
          <rPr>
            <sz val="9"/>
            <color indexed="81"/>
            <rFont val="Tahoma"/>
            <family val="2"/>
          </rPr>
          <t xml:space="preserve">
We usually recommend 10% for a large cap firm and 12% for a small cap one.</t>
        </r>
      </text>
    </comment>
    <comment ref="A8" authorId="0" shapeId="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authors>
    <author>Erik Kobayashi-Solomon</author>
  </authors>
  <commentList>
    <comment ref="A10" authorId="0" shapeId="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text>
        <r>
          <rPr>
            <b/>
            <sz val="9"/>
            <color indexed="81"/>
            <rFont val="Tahoma"/>
            <family val="2"/>
          </rPr>
          <t>Erik Kobayashi-Solomon:</t>
        </r>
        <r>
          <rPr>
            <sz val="9"/>
            <color indexed="81"/>
            <rFont val="Tahoma"/>
            <family val="2"/>
          </rPr>
          <t xml:space="preserve">
Enter as a positive value.</t>
        </r>
      </text>
    </comment>
    <comment ref="A21" authorId="0" shapeId="0">
      <text>
        <r>
          <rPr>
            <b/>
            <sz val="9"/>
            <color indexed="81"/>
            <rFont val="Tahoma"/>
            <family val="2"/>
          </rPr>
          <t>Erik Kobayashi-Solomon:</t>
        </r>
        <r>
          <rPr>
            <sz val="9"/>
            <color indexed="81"/>
            <rFont val="Tahoma"/>
            <family val="2"/>
          </rPr>
          <t xml:space="preserve">
Enter as a negative value.</t>
        </r>
      </text>
    </comment>
    <comment ref="A24" authorId="0" shapeId="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<sst xmlns="http://schemas.openxmlformats.org/spreadsheetml/2006/main" count="376" uniqueCount="191">
  <si>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</si>
  <si>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</si>
  <si>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</si>
  <si>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</si>
  <si>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</si>
  <si>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</si>
  <si>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</si>
  <si>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</si>
  <si>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</si>
  <si>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</si>
  <si>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</si>
  <si>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</si>
  <si>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</si>
  <si>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</si>
  <si>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</si>
  <si>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</si>
  <si>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</si>
  <si>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</si>
  <si>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</si>
  <si>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</si>
  <si>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</si>
  <si>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</si>
  <si>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</si>
  <si>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</si>
  <si>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</si>
  <si>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</si>
  <si>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</si>
  <si>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</si>
  <si>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</si>
  <si>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</si>
  <si>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</si>
  <si>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</si>
  <si>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</si>
  <si>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</si>
  <si>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</si>
  <si>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</si>
  <si>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</si>
  <si>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</si>
  <si>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</si>
  <si>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</si>
  <si>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</si>
  <si>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</si>
  <si>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</si>
  <si>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</si>
  <si>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</si>
  <si>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</si>
  <si>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</si>
  <si>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</si>
  <si>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</si>
  <si>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</si>
  <si>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</si>
  <si>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</si>
  <si>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</si>
  <si>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</si>
  <si>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</si>
  <si>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</si>
  <si>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</si>
  <si>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</si>
  <si>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</si>
  <si>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</si>
  <si>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</si>
  <si>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</si>
  <si>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</si>
  <si>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</si>
  <si>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</si>
  <si>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</si>
  <si>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</si>
  <si>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</si>
  <si>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</si>
  <si>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</si>
  <si>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</si>
  <si>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</si>
  <si>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</si>
  <si>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</si>
  <si>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</si>
  <si>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</si>
  <si>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</si>
  <si>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</si>
  <si>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</si>
  <si>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</si>
  <si>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</si>
  <si>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</si>
  <si>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</si>
  <si>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</si>
  <si>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</si>
  <si>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</si>
  <si>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</si>
  <si>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</si>
  <si>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</si>
  <si>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</si>
  <si>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</si>
  <si>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</si>
  <si>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</si>
  <si>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</si>
  <si>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</si>
  <si>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</si>
  <si>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</si>
  <si>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</si>
  <si>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</si>
  <si>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</si>
  <si>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</si>
  <si>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</si>
  <si>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</si>
  <si>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</si>
  <si>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</si>
  <si>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</si>
  <si>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</si>
  <si>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</si>
  <si>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</si>
  <si>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</si>
  <si>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</si>
  <si>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</si>
  <si>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</si>
  <si>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</si>
  <si>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</si>
  <si>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</si>
  <si>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</si>
  <si>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</si>
  <si>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</si>
  <si>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</si>
  <si>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</si>
  <si>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</si>
  <si>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</si>
  <si>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</si>
  <si>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</si>
  <si>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</si>
  <si>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</si>
  <si>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</si>
  <si>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</si>
  <si>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</si>
  <si>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</si>
  <si>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</si>
  <si>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</si>
  <si>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</si>
  <si>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</si>
  <si>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</si>
  <si>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</si>
  <si>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</si>
  <si>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</si>
  <si>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</si>
  <si>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</si>
  <si>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</si>
  <si>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</si>
  <si>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</si>
  <si>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</si>
  <si>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</si>
  <si>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</si>
  <si>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</si>
  <si>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</si>
  <si>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</si>
  <si>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</si>
  <si>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</si>
  <si>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</si>
  <si>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</si>
  <si>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</si>
  <si>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</si>
  <si>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</si>
  <si>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</si>
  <si>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</si>
  <si>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</si>
  <si>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</si>
  <si>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</si>
  <si>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</si>
  <si>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</si>
  <si>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</si>
  <si>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</si>
  <si>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</si>
  <si>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</si>
  <si>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</si>
  <si>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</si>
  <si>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</si>
  <si>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</si>
  <si>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</si>
  <si>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</si>
  <si>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</si>
  <si>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</si>
  <si>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</si>
  <si>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</si>
  <si>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</si>
  <si>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</si>
  <si>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</si>
  <si>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</si>
  <si>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</si>
  <si>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</si>
  <si>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</si>
  <si>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</si>
  <si>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</si>
  <si>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</si>
  <si>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</si>
  <si>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Express Scripts</t>
  </si>
  <si>
    <t>ESRX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</si>
</sst>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s>
  <fonts count="53">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62">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0"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cellXfs>
  <cellStyles count="127">
    <cellStyle name="$(0)" xfId="8"/>
    <cellStyle name="(0)" xfId="9"/>
    <cellStyle name="(0.0%)" xfId="10"/>
    <cellStyle name="75" xfId="11"/>
    <cellStyle name="AcNote" xfId="12"/>
    <cellStyle name="ÅëÈ­ [0]_±âÅ¸" xfId="13"/>
    <cellStyle name="ÅëÈ­_±âÅ¸" xfId="14"/>
    <cellStyle name="args.style" xfId="15"/>
    <cellStyle name="ÄÞ¸¶ [0]_±âÅ¸" xfId="16"/>
    <cellStyle name="ÄÞ¸¶_±âÅ¸" xfId="17"/>
    <cellStyle name="Body" xfId="18"/>
    <cellStyle name="Ç¥ÁØ_¿¬°£´©°è¿¹»ó" xfId="19"/>
    <cellStyle name="Calc Currency (0)" xfId="20"/>
    <cellStyle name="Calc Currency (2)" xfId="21"/>
    <cellStyle name="Calc Percent (0)" xfId="22"/>
    <cellStyle name="Calc Percent (1)" xfId="23"/>
    <cellStyle name="Calc Percent (2)" xfId="24"/>
    <cellStyle name="Calc Units (0)" xfId="25"/>
    <cellStyle name="Calc Units (1)" xfId="26"/>
    <cellStyle name="Calc Units (2)" xfId="27"/>
    <cellStyle name="Comma" xfId="1" builtinId="3"/>
    <cellStyle name="Comma  - Style1" xfId="28"/>
    <cellStyle name="Comma  - Style2" xfId="29"/>
    <cellStyle name="Comma  - Style3" xfId="30"/>
    <cellStyle name="Comma  - Style4" xfId="31"/>
    <cellStyle name="Comma  - Style5" xfId="32"/>
    <cellStyle name="Comma  - Style6" xfId="33"/>
    <cellStyle name="Comma  - Style7" xfId="34"/>
    <cellStyle name="Comma  - Style8" xfId="35"/>
    <cellStyle name="Comma [00]" xfId="36"/>
    <cellStyle name="Comma 2" xfId="6"/>
    <cellStyle name="Comma0" xfId="37"/>
    <cellStyle name="Copied" xfId="38"/>
    <cellStyle name="Currency" xfId="2" builtinId="4"/>
    <cellStyle name="Currency [00]" xfId="39"/>
    <cellStyle name="Currency 2" xfId="40"/>
    <cellStyle name="Currency M*" xfId="41"/>
    <cellStyle name="Currency0" xfId="42"/>
    <cellStyle name="Currwncy [0]_laroux_1¿ùÈ¸ºñ³»¿ª (2)_±¸¹Ì´ëÃ¥" xfId="43"/>
    <cellStyle name="Date" xfId="44"/>
    <cellStyle name="Date Short" xfId="45"/>
    <cellStyle name="Date_BRANCHWISE FOR BDTEAM FY 07-08(BEFORE AUDIT)" xfId="46"/>
    <cellStyle name="DELTA" xfId="47"/>
    <cellStyle name="Dollar" xfId="48"/>
    <cellStyle name="Dollar0Decimals" xfId="49"/>
    <cellStyle name="Dollar2Decimals" xfId="50"/>
    <cellStyle name="Enter Currency (0)" xfId="51"/>
    <cellStyle name="Enter Currency (2)" xfId="52"/>
    <cellStyle name="Enter Units (0)" xfId="53"/>
    <cellStyle name="Enter Units (1)" xfId="54"/>
    <cellStyle name="Enter Units (2)" xfId="55"/>
    <cellStyle name="Entered" xfId="56"/>
    <cellStyle name="Euro" xfId="57"/>
    <cellStyle name="Fixed" xfId="58"/>
    <cellStyle name="Formula" xfId="59"/>
    <cellStyle name="Grey" xfId="60"/>
    <cellStyle name="Header" xfId="61"/>
    <cellStyle name="Header1" xfId="62"/>
    <cellStyle name="Header2" xfId="63"/>
    <cellStyle name="HEADINGS" xfId="64"/>
    <cellStyle name="HEADINGSTOP" xfId="65"/>
    <cellStyle name="Hypertextový odkaz" xfId="66"/>
    <cellStyle name="Input [yellow]" xfId="67"/>
    <cellStyle name="Inputs" xfId="68"/>
    <cellStyle name="Link Currency (0)" xfId="69"/>
    <cellStyle name="Link Currency (2)" xfId="70"/>
    <cellStyle name="Link Units (0)" xfId="71"/>
    <cellStyle name="Link Units (1)" xfId="72"/>
    <cellStyle name="Link Units (2)" xfId="73"/>
    <cellStyle name="Multiple" xfId="74"/>
    <cellStyle name="Name" xfId="75"/>
    <cellStyle name="New Times Roman" xfId="76"/>
    <cellStyle name="NewAcct" xfId="77"/>
    <cellStyle name="no dec" xfId="78"/>
    <cellStyle name="Normal" xfId="0" builtinId="0"/>
    <cellStyle name="Normal - Style1" xfId="79"/>
    <cellStyle name="Normal 2" xfId="5"/>
    <cellStyle name="Normal 3" xfId="80"/>
    <cellStyle name="Normal 4" xfId="81"/>
    <cellStyle name="Normal 5" xfId="82"/>
    <cellStyle name="Normal 6" xfId="83"/>
    <cellStyle name="Normal 6 2" xfId="84"/>
    <cellStyle name="Normal 6 3" xfId="4"/>
    <cellStyle name="per.style" xfId="85"/>
    <cellStyle name="Percent" xfId="3" builtinId="5"/>
    <cellStyle name="Percent [0]" xfId="86"/>
    <cellStyle name="Percent [00]" xfId="87"/>
    <cellStyle name="Percent [2]" xfId="88"/>
    <cellStyle name="Percent 2" xfId="7"/>
    <cellStyle name="Plain2Decimals" xfId="89"/>
    <cellStyle name="PlainDollar" xfId="90"/>
    <cellStyle name="PlainDollarBoldwBorders" xfId="91"/>
    <cellStyle name="PlainDollardBLUndLine" xfId="92"/>
    <cellStyle name="PlainDollarSS" xfId="93"/>
    <cellStyle name="PlainDollarUndLine" xfId="94"/>
    <cellStyle name="Popis" xfId="95"/>
    <cellStyle name="PrePop Currency (0)" xfId="96"/>
    <cellStyle name="PrePop Currency (2)" xfId="97"/>
    <cellStyle name="PrePop Units (0)" xfId="98"/>
    <cellStyle name="PrePop Units (1)" xfId="99"/>
    <cellStyle name="PrePop Units (2)" xfId="100"/>
    <cellStyle name="R(0)" xfId="101"/>
    <cellStyle name="regstoresfromspecstores" xfId="102"/>
    <cellStyle name="RevList" xfId="103"/>
    <cellStyle name="Row head" xfId="104"/>
    <cellStyle name="SCH1" xfId="105"/>
    <cellStyle name="ScratchPad" xfId="106"/>
    <cellStyle name="SHADEDSTORES" xfId="107"/>
    <cellStyle name="Sledovaný hypertextový odkaz" xfId="108"/>
    <cellStyle name="specstores" xfId="109"/>
    <cellStyle name="SSComma0" xfId="110"/>
    <cellStyle name="SSComma2" xfId="111"/>
    <cellStyle name="SSDecs3" xfId="112"/>
    <cellStyle name="SSDflt" xfId="113"/>
    <cellStyle name="SSDfltPct" xfId="114"/>
    <cellStyle name="SSDfltPct0" xfId="115"/>
    <cellStyle name="SSFixed2" xfId="116"/>
    <cellStyle name="Standard_Balance Sheet" xfId="117"/>
    <cellStyle name="Subtotal" xfId="118"/>
    <cellStyle name="Text Indent A" xfId="119"/>
    <cellStyle name="Text Indent B" xfId="120"/>
    <cellStyle name="Text Indent C" xfId="121"/>
    <cellStyle name="桁区切り [0.00]_PERSONAL" xfId="122"/>
    <cellStyle name="桁区切り_PERSONAL" xfId="123"/>
    <cellStyle name="標準_PERSONAL" xfId="124"/>
    <cellStyle name="通貨 [0.00]_PERSONAL" xfId="125"/>
    <cellStyle name="通貨_PERSONAL" xfId="126"/>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6.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chartsheet" Target="chartsheets/sheet4.xml"/><Relationship Id="rId12" Type="http://schemas.openxmlformats.org/officeDocument/2006/relationships/worksheet" Target="worksheets/sheet5.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4.xml"/><Relationship Id="rId24" Type="http://schemas.openxmlformats.org/officeDocument/2006/relationships/sharedStrings" Target="sharedStrings.xml"/><Relationship Id="rId5" Type="http://schemas.openxmlformats.org/officeDocument/2006/relationships/chartsheet" Target="chartsheets/sheet2.xml"/><Relationship Id="rId15" Type="http://schemas.openxmlformats.org/officeDocument/2006/relationships/worksheet" Target="worksheets/sheet8.xml"/><Relationship Id="rId23" Type="http://schemas.openxmlformats.org/officeDocument/2006/relationships/styles" Target="styles.xml"/><Relationship Id="rId10" Type="http://schemas.openxmlformats.org/officeDocument/2006/relationships/chartsheet" Target="chartsheets/sheet7.xml"/><Relationship Id="rId19" Type="http://schemas.openxmlformats.org/officeDocument/2006/relationships/externalLink" Target="externalLinks/externalLink3.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7.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r>
              <a:rPr lang="en-US"/>
              <a:t>Revenue History and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Data'!$B$2:$P$2</c:f>
              <c:numCache>
                <c:formatCode>_(* #,##0_);_(* \(#,##0\);_(* "-"??_);_(@_)</c:formatCode>
                <c:ptCount val="15"/>
                <c:pt idx="0">
                  <c:v>17554</c:v>
                </c:pt>
                <c:pt idx="1">
                  <c:v>18273.599999999999</c:v>
                </c:pt>
                <c:pt idx="2">
                  <c:v>21978</c:v>
                </c:pt>
                <c:pt idx="3">
                  <c:v>24722.3</c:v>
                </c:pt>
                <c:pt idx="4">
                  <c:v>44973.2</c:v>
                </c:pt>
                <c:pt idx="5">
                  <c:v>46128.3</c:v>
                </c:pt>
                <c:pt idx="6">
                  <c:v>93714.3</c:v>
                </c:pt>
                <c:pt idx="7">
                  <c:v>104098.8</c:v>
                </c:pt>
                <c:pt idx="8">
                  <c:v>100887.1</c:v>
                </c:pt>
                <c:pt idx="9">
                  <c:v>101751.8</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Data'!$B$3:$P$3</c:f>
              <c:numCache>
                <c:formatCode>General</c:formatCode>
                <c:ptCount val="15"/>
                <c:pt idx="10" formatCode="_(* #,##0_);_(* \(#,##0\);_(* &quot;-&quot;??_);_(@_)">
                  <c:v>101751.8</c:v>
                </c:pt>
                <c:pt idx="11" formatCode="_(* #,##0_);_(* \(#,##0\);_(* &quot;-&quot;??_);_(@_)">
                  <c:v>101751.8</c:v>
                </c:pt>
                <c:pt idx="12" formatCode="_(* #,##0_);_(* \(#,##0\);_(* &quot;-&quot;??_);_(@_)">
                  <c:v>101751.8</c:v>
                </c:pt>
                <c:pt idx="13" formatCode="_(* #,##0_);_(* \(#,##0\);_(* &quot;-&quot;??_);_(@_)">
                  <c:v>101751.8</c:v>
                </c:pt>
                <c:pt idx="14" formatCode="_(* #,##0_);_(* \(#,##0\);_(* &quot;-&quot;??_);_(@_)">
                  <c:v>101751.8</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Data'!$B$4:$P$4</c:f>
              <c:numCache>
                <c:formatCode>General</c:formatCode>
                <c:ptCount val="15"/>
                <c:pt idx="10" formatCode="_(* #,##0_);_(* \(#,##0\);_(* &quot;-&quot;??_);_(@_)">
                  <c:v>101751.8</c:v>
                </c:pt>
                <c:pt idx="11" formatCode="_(* #,##0_);_(* \(#,##0\);_(* &quot;-&quot;??_);_(@_)">
                  <c:v>101751.8</c:v>
                </c:pt>
                <c:pt idx="12" formatCode="_(* #,##0_);_(* \(#,##0\);_(* &quot;-&quot;??_);_(@_)">
                  <c:v>101751.8</c:v>
                </c:pt>
                <c:pt idx="13" formatCode="_(* #,##0_);_(* \(#,##0\);_(* &quot;-&quot;??_);_(@_)">
                  <c:v>101751.8</c:v>
                </c:pt>
                <c:pt idx="14" formatCode="_(* #,##0_);_(* \(#,##0\);_(* &quot;-&quot;??_);_(@_)">
                  <c:v>101751.8</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Data'!$B$5:$P$5</c:f>
              <c:numCache>
                <c:formatCode>0%</c:formatCode>
                <c:ptCount val="15"/>
                <c:pt idx="1">
                  <c:v>4.0993505753674331E-2</c:v>
                </c:pt>
                <c:pt idx="2">
                  <c:v>0.2027186761229316</c:v>
                </c:pt>
                <c:pt idx="3">
                  <c:v>0.12486577486577488</c:v>
                </c:pt>
                <c:pt idx="4">
                  <c:v>0.819134951036109</c:v>
                </c:pt>
                <c:pt idx="5">
                  <c:v>2.5684185248103342E-2</c:v>
                </c:pt>
                <c:pt idx="6">
                  <c:v>1.0316009911486006</c:v>
                </c:pt>
                <c:pt idx="7">
                  <c:v>0.11081019652283586</c:v>
                </c:pt>
                <c:pt idx="8">
                  <c:v>-3.0852420969309846E-2</c:v>
                </c:pt>
                <c:pt idx="9">
                  <c:v>8.5709669521671916E-3</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Data'!$B$6:$P$6</c:f>
              <c:numCache>
                <c:formatCode>General</c:formatCode>
                <c:ptCount val="15"/>
                <c:pt idx="9" formatCode="0%">
                  <c:v>8.5709669521671916E-3</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Data'!$B$7:$P$7</c:f>
              <c:numCache>
                <c:formatCode>General</c:formatCode>
                <c:ptCount val="15"/>
                <c:pt idx="9" formatCode="0%">
                  <c:v>8.5709669521671916E-3</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r>
              <a:rPr lang="en-US"/>
              <a:t>Owners' Cash Profit History and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Data'!$B$10:$P$10</c:f>
              <c:numCache>
                <c:formatCode>_(* #,##0_);_(* \(#,##0\);_(* "-"??_);_(@_)</c:formatCode>
                <c:ptCount val="15"/>
                <c:pt idx="0">
                  <c:v>592</c:v>
                </c:pt>
                <c:pt idx="1">
                  <c:v>752.3</c:v>
                </c:pt>
                <c:pt idx="2">
                  <c:v>1017.2</c:v>
                </c:pt>
                <c:pt idx="3">
                  <c:v>1624</c:v>
                </c:pt>
                <c:pt idx="4">
                  <c:v>1997.5</c:v>
                </c:pt>
                <c:pt idx="5">
                  <c:v>2048.6999999999998</c:v>
                </c:pt>
                <c:pt idx="6">
                  <c:v>4621.4000000000005</c:v>
                </c:pt>
                <c:pt idx="7">
                  <c:v>4334.5</c:v>
                </c:pt>
                <c:pt idx="8">
                  <c:v>4112.3999999999996</c:v>
                </c:pt>
                <c:pt idx="9">
                  <c:v>4548</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Data'!$B$11:$P$11</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Data'!$B$12:$P$12</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Data'!$B$13:$P$13</c:f>
              <c:numCache>
                <c:formatCode>0%</c:formatCode>
                <c:ptCount val="15"/>
                <c:pt idx="0">
                  <c:v>3.3724507234818277E-2</c:v>
                </c:pt>
                <c:pt idx="1">
                  <c:v>4.1168680500831799E-2</c:v>
                </c:pt>
                <c:pt idx="2">
                  <c:v>4.6282646282646285E-2</c:v>
                </c:pt>
                <c:pt idx="3">
                  <c:v>6.5689680976284567E-2</c:v>
                </c:pt>
                <c:pt idx="4">
                  <c:v>4.4415340691789783E-2</c:v>
                </c:pt>
                <c:pt idx="5">
                  <c:v>4.441308264124192E-2</c:v>
                </c:pt>
                <c:pt idx="6">
                  <c:v>4.9313711994860981E-2</c:v>
                </c:pt>
                <c:pt idx="7">
                  <c:v>4.1638328203591202E-2</c:v>
                </c:pt>
                <c:pt idx="8">
                  <c:v>4.0762396778180755E-2</c:v>
                </c:pt>
                <c:pt idx="9">
                  <c:v>4.469699798922476E-2</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Data'!$B$14:$P$14</c:f>
              <c:numCache>
                <c:formatCode>General</c:formatCode>
                <c:ptCount val="15"/>
                <c:pt idx="9" formatCode="0%">
                  <c:v>4.469699798922476E-2</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Data'!$B$15:$P$15</c:f>
              <c:numCache>
                <c:formatCode>General</c:formatCode>
                <c:ptCount val="15"/>
                <c:pt idx="9" formatCode="0%">
                  <c:v>4.469699798922476E-2</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b="0"/>
              <a:t>Expansionary Cash Flow versus Owners' Cash Profits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Data'!$B$18:$K$18</c:f>
              <c:numCache>
                <c:formatCode>_(* #,##0_);_(* \(#,##0\);_(* "-"??_);_(@_)</c:formatCode>
                <c:ptCount val="10"/>
                <c:pt idx="0">
                  <c:v>592</c:v>
                </c:pt>
                <c:pt idx="1">
                  <c:v>752.3</c:v>
                </c:pt>
                <c:pt idx="2">
                  <c:v>1017.2</c:v>
                </c:pt>
                <c:pt idx="3">
                  <c:v>1624</c:v>
                </c:pt>
                <c:pt idx="4">
                  <c:v>1997.5</c:v>
                </c:pt>
                <c:pt idx="5">
                  <c:v>2048.6999999999998</c:v>
                </c:pt>
                <c:pt idx="6">
                  <c:v>4621.4000000000005</c:v>
                </c:pt>
                <c:pt idx="7">
                  <c:v>4334.5</c:v>
                </c:pt>
                <c:pt idx="8">
                  <c:v>4112.3999999999996</c:v>
                </c:pt>
                <c:pt idx="9">
                  <c:v>4548</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Data'!$B$19:$K$19</c:f>
              <c:numCache>
                <c:formatCode>_(* #,##0_);_(* \(#,##0\);_(* "-"??_);_(@_)</c:formatCode>
                <c:ptCount val="10"/>
                <c:pt idx="0">
                  <c:v>0</c:v>
                </c:pt>
                <c:pt idx="1">
                  <c:v>0</c:v>
                </c:pt>
                <c:pt idx="2">
                  <c:v>0</c:v>
                </c:pt>
                <c:pt idx="3">
                  <c:v>0</c:v>
                </c:pt>
                <c:pt idx="4">
                  <c:v>0</c:v>
                </c:pt>
                <c:pt idx="5">
                  <c:v>-6.7396825397000022</c:v>
                </c:pt>
                <c:pt idx="6">
                  <c:v>28448.327598160002</c:v>
                </c:pt>
                <c:pt idx="7">
                  <c:v>129.52442380965005</c:v>
                </c:pt>
                <c:pt idx="8">
                  <c:v>468.69118611175992</c:v>
                </c:pt>
                <c:pt idx="9">
                  <c:v>262.11799999999999</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t>Expansionary Cash Flow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Data'!$B$22:$K$22</c:f>
              <c:numCache>
                <c:formatCode>_(* #,##0_);_(* \(#,##0\);_(* "-"??_);_(@_)</c:formatCode>
                <c:ptCount val="10"/>
                <c:pt idx="0">
                  <c:v>0</c:v>
                </c:pt>
                <c:pt idx="1">
                  <c:v>0</c:v>
                </c:pt>
                <c:pt idx="2">
                  <c:v>0</c:v>
                </c:pt>
                <c:pt idx="3">
                  <c:v>0</c:v>
                </c:pt>
                <c:pt idx="4">
                  <c:v>0</c:v>
                </c:pt>
                <c:pt idx="5">
                  <c:v>0</c:v>
                </c:pt>
                <c:pt idx="6">
                  <c:v>0</c:v>
                </c:pt>
                <c:pt idx="7">
                  <c:v>0</c:v>
                </c:pt>
                <c:pt idx="8">
                  <c:v>0</c:v>
                </c:pt>
                <c:pt idx="9">
                  <c:v>-4.1000000000000227</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Data'!$B$24:$K$24</c:f>
              <c:numCache>
                <c:formatCode>_(* #,##0_);_(* \(#,##0\);_(* "-"??_);_(@_)</c:formatCode>
                <c:ptCount val="10"/>
                <c:pt idx="0">
                  <c:v>0</c:v>
                </c:pt>
                <c:pt idx="1">
                  <c:v>0</c:v>
                </c:pt>
                <c:pt idx="2">
                  <c:v>0</c:v>
                </c:pt>
                <c:pt idx="3">
                  <c:v>0</c:v>
                </c:pt>
                <c:pt idx="4">
                  <c:v>0</c:v>
                </c:pt>
                <c:pt idx="5">
                  <c:v>0</c:v>
                </c:pt>
                <c:pt idx="6">
                  <c:v>10326</c:v>
                </c:pt>
                <c:pt idx="7">
                  <c:v>14.5</c:v>
                </c:pt>
                <c:pt idx="8">
                  <c:v>-2.2000000000000002</c:v>
                </c:pt>
                <c:pt idx="9">
                  <c:v>0</c:v>
                </c:pt>
              </c:numCache>
            </c:numRef>
          </c:val>
          <c:extLst>
            <c:ext xmlns:c16="http://schemas.microsoft.com/office/drawing/2014/chart" uri="{C3380CC4-5D6E-409C-BE32-E72D297353CC}">
              <c16:uniqueId val="{00000001-9129-4520-A328-5E8B3CBDF464}"/>
            </c:ext>
          </c:extLst>
        </c:ser>
        <c:ser>
          <c:idx val="4"/>
          <c:order val="2"/>
          <c:tx>
            <c:strRef>
              <c:f>'Graphing Data'!$A$26</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Data'!$B$26:$K$26</c:f>
              <c:numCache>
                <c:formatCode>_(* #,##0_);_(* \(#,##0\);_(* "-"??_);_(@_)</c:formatCode>
                <c:ptCount val="10"/>
                <c:pt idx="0">
                  <c:v>0</c:v>
                </c:pt>
                <c:pt idx="1">
                  <c:v>0</c:v>
                </c:pt>
                <c:pt idx="2">
                  <c:v>0</c:v>
                </c:pt>
                <c:pt idx="3">
                  <c:v>0</c:v>
                </c:pt>
                <c:pt idx="4">
                  <c:v>0</c:v>
                </c:pt>
                <c:pt idx="5">
                  <c:v>-6.7396825397000022</c:v>
                </c:pt>
                <c:pt idx="6">
                  <c:v>18183.827598160002</c:v>
                </c:pt>
                <c:pt idx="7">
                  <c:v>471.92442380965002</c:v>
                </c:pt>
                <c:pt idx="8">
                  <c:v>470.89118611175991</c:v>
                </c:pt>
                <c:pt idx="9">
                  <c:v>266.21800000000002</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Data'!$B$23:$K$23</c:f>
              <c:numCache>
                <c:formatCode>_(* #,##0_);_(* \(#,##0\);_(* "-"??_);_(@_)</c:formatCode>
                <c:ptCount val="10"/>
                <c:pt idx="0">
                  <c:v>0</c:v>
                </c:pt>
                <c:pt idx="1">
                  <c:v>0</c:v>
                </c:pt>
                <c:pt idx="2">
                  <c:v>0</c:v>
                </c:pt>
                <c:pt idx="3">
                  <c:v>0</c:v>
                </c:pt>
                <c:pt idx="4">
                  <c:v>0</c:v>
                </c:pt>
                <c:pt idx="5">
                  <c:v>0</c:v>
                </c:pt>
                <c:pt idx="6">
                  <c:v>-61.5</c:v>
                </c:pt>
                <c:pt idx="7">
                  <c:v>-356.9</c:v>
                </c:pt>
                <c:pt idx="8">
                  <c:v>0</c:v>
                </c:pt>
                <c:pt idx="9">
                  <c:v>0</c:v>
                </c:pt>
              </c:numCache>
            </c:numRef>
          </c:val>
          <c:extLst>
            <c:ext xmlns:c16="http://schemas.microsoft.com/office/drawing/2014/chart" uri="{C3380CC4-5D6E-409C-BE32-E72D297353CC}">
              <c16:uniqueId val="{00000004-9129-4520-A328-5E8B3CBDF464}"/>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solidFill>
                  <a:sysClr val="windowText" lastClr="000000"/>
                </a:solidFill>
                <a:latin typeface="Arial Narrow" panose="020B0606020202030204" pitchFamily="34" charset="0"/>
              </a:rPr>
              <a:t>Free Cash Flow</a:t>
            </a:r>
            <a:r>
              <a:rPr lang="en-US" baseline="0">
                <a:solidFill>
                  <a:sysClr val="windowText" lastClr="000000"/>
                </a:solidFill>
                <a:latin typeface="Arial Narrow" panose="020B0606020202030204" pitchFamily="34" charset="0"/>
              </a:rPr>
              <a:t> </a:t>
            </a:r>
            <a:r>
              <a:rPr lang="en-US">
                <a:solidFill>
                  <a:sysClr val="windowText" lastClr="000000"/>
                </a:solidFill>
                <a:latin typeface="Arial Narrow" panose="020B0606020202030204" pitchFamily="34" charset="0"/>
              </a:rPr>
              <a:t>History &amp;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Data'!$A$29</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Data'!$B$29:$P$29</c:f>
              <c:numCache>
                <c:formatCode>_(* #,##0_);_(* \(#,##0\);_(* "-"??_);_(@_)</c:formatCode>
                <c:ptCount val="15"/>
                <c:pt idx="0">
                  <c:v>592</c:v>
                </c:pt>
                <c:pt idx="1">
                  <c:v>752.3</c:v>
                </c:pt>
                <c:pt idx="2">
                  <c:v>1017.2</c:v>
                </c:pt>
                <c:pt idx="3">
                  <c:v>1624</c:v>
                </c:pt>
                <c:pt idx="4">
                  <c:v>1997.5</c:v>
                </c:pt>
                <c:pt idx="5">
                  <c:v>2055.4396825396998</c:v>
                </c:pt>
                <c:pt idx="6">
                  <c:v>-23826.92759816</c:v>
                </c:pt>
                <c:pt idx="7">
                  <c:v>4204.9755761903498</c:v>
                </c:pt>
                <c:pt idx="8">
                  <c:v>3643.7088138882395</c:v>
                </c:pt>
                <c:pt idx="9">
                  <c:v>4285.8819999999996</c:v>
                </c:pt>
              </c:numCache>
            </c:numRef>
          </c:val>
          <c:extLst>
            <c:ext xmlns:c16="http://schemas.microsoft.com/office/drawing/2014/chart" uri="{C3380CC4-5D6E-409C-BE32-E72D297353CC}">
              <c16:uniqueId val="{00000000-C675-4998-8FDA-70AF59AE3ABC}"/>
            </c:ext>
          </c:extLst>
        </c:ser>
        <c:ser>
          <c:idx val="1"/>
          <c:order val="1"/>
          <c:tx>
            <c:strRef>
              <c:f>'Graphing Data'!$A$31</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1-C675-4998-8FDA-70AF59AE3ABC}"/>
            </c:ext>
          </c:extLst>
        </c:ser>
        <c:ser>
          <c:idx val="2"/>
          <c:order val="2"/>
          <c:tx>
            <c:strRef>
              <c:f>'Graphing Data'!$A$30</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Data'!$A$32</c:f>
              <c:strCache>
                <c:ptCount val="1"/>
                <c:pt idx="0">
                  <c:v>FCFO Margin (RHS)</c:v>
                </c:pt>
              </c:strCache>
            </c:strRef>
          </c:tx>
          <c:spPr>
            <a:ln w="19050" cap="rnd">
              <a:solidFill>
                <a:schemeClr val="tx1"/>
              </a:solidFill>
              <a:round/>
            </a:ln>
            <a:effectLst/>
          </c:spPr>
          <c:marker>
            <c:symbol val="none"/>
          </c:marker>
          <c:cat>
            <c:numRef>
              <c:f>'Graphing Data'!$B$28:$P$28</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Data'!$B$32:$P$32</c:f>
              <c:numCache>
                <c:formatCode>0%</c:formatCode>
                <c:ptCount val="15"/>
                <c:pt idx="0">
                  <c:v>3.3724507234818277E-2</c:v>
                </c:pt>
                <c:pt idx="1">
                  <c:v>4.1168680500831799E-2</c:v>
                </c:pt>
                <c:pt idx="2">
                  <c:v>4.6282646282646285E-2</c:v>
                </c:pt>
                <c:pt idx="3">
                  <c:v>6.5689680976284567E-2</c:v>
                </c:pt>
                <c:pt idx="4">
                  <c:v>4.4415340691789783E-2</c:v>
                </c:pt>
                <c:pt idx="5">
                  <c:v>4.4559189966673379E-2</c:v>
                </c:pt>
                <c:pt idx="6">
                  <c:v>-0.2542507130519035</c:v>
                </c:pt>
                <c:pt idx="7">
                  <c:v>4.039408308443853E-2</c:v>
                </c:pt>
                <c:pt idx="8">
                  <c:v>3.6116696920500631E-2</c:v>
                </c:pt>
                <c:pt idx="9">
                  <c:v>4.2120945280574883E-2</c:v>
                </c:pt>
              </c:numCache>
            </c:numRef>
          </c:val>
          <c:smooth val="0"/>
          <c:extLst>
            <c:ext xmlns:c16="http://schemas.microsoft.com/office/drawing/2014/chart" uri="{C3380CC4-5D6E-409C-BE32-E72D297353CC}">
              <c16:uniqueId val="{00000003-C675-4998-8FDA-70AF59AE3ABC}"/>
            </c:ext>
          </c:extLst>
        </c:ser>
        <c:ser>
          <c:idx val="4"/>
          <c:order val="4"/>
          <c:tx>
            <c:strRef>
              <c:f>'Graphing Data'!$A$34</c:f>
              <c:strCache>
                <c:ptCount val="1"/>
                <c:pt idx="0">
                  <c:v>Worst Case FCFO Margin (RHS)</c:v>
                </c:pt>
              </c:strCache>
            </c:strRef>
          </c:tx>
          <c:spPr>
            <a:ln w="19050" cap="rnd">
              <a:solidFill>
                <a:schemeClr val="tx1"/>
              </a:solidFill>
              <a:prstDash val="sysDot"/>
              <a:round/>
            </a:ln>
            <a:effectLst/>
          </c:spPr>
          <c:marker>
            <c:symbol val="none"/>
          </c:marker>
          <c:cat>
            <c:numRef>
              <c:f>'Graphing Data'!$B$28:$P$28</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Data'!$B$34:$P$34</c:f>
              <c:numCache>
                <c:formatCode>General</c:formatCode>
                <c:ptCount val="15"/>
                <c:pt idx="9" formatCode="0%">
                  <c:v>4.2120945280574883E-2</c:v>
                </c:pt>
                <c:pt idx="10" formatCode="0.0%">
                  <c:v>0</c:v>
                </c:pt>
                <c:pt idx="11" formatCode="0.0%">
                  <c:v>0</c:v>
                </c:pt>
                <c:pt idx="12" formatCode="0.0%">
                  <c:v>0</c:v>
                </c:pt>
                <c:pt idx="13" formatCode="0.0%">
                  <c:v>0</c:v>
                </c:pt>
                <c:pt idx="14" formatCode="0.0%">
                  <c:v>0</c:v>
                </c:pt>
              </c:numCache>
            </c:numRef>
          </c:val>
          <c:smooth val="0"/>
          <c:extLst>
            <c:ext xmlns:c16="http://schemas.microsoft.com/office/drawing/2014/chart" uri="{C3380CC4-5D6E-409C-BE32-E72D297353CC}">
              <c16:uniqueId val="{00000004-C675-4998-8FDA-70AF59AE3ABC}"/>
            </c:ext>
          </c:extLst>
        </c:ser>
        <c:ser>
          <c:idx val="5"/>
          <c:order val="5"/>
          <c:tx>
            <c:strRef>
              <c:f>'Graphing Data'!$A$33</c:f>
              <c:strCache>
                <c:ptCount val="1"/>
                <c:pt idx="0">
                  <c:v>Best Case FCFO Margin (RHS)</c:v>
                </c:pt>
              </c:strCache>
            </c:strRef>
          </c:tx>
          <c:spPr>
            <a:ln w="19050" cap="rnd">
              <a:solidFill>
                <a:schemeClr val="tx1"/>
              </a:solidFill>
              <a:prstDash val="dash"/>
              <a:round/>
            </a:ln>
            <a:effectLst/>
          </c:spPr>
          <c:marker>
            <c:symbol val="none"/>
          </c:marker>
          <c:cat>
            <c:numRef>
              <c:f>'Graphing Data'!$B$28:$P$28</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Data'!$B$33:$P$33</c:f>
              <c:numCache>
                <c:formatCode>General</c:formatCode>
                <c:ptCount val="15"/>
                <c:pt idx="9" formatCode="0%">
                  <c:v>4.2120945280574883E-2</c:v>
                </c:pt>
                <c:pt idx="10" formatCode="0.0%">
                  <c:v>0</c:v>
                </c:pt>
                <c:pt idx="11" formatCode="0.0%">
                  <c:v>0</c:v>
                </c:pt>
                <c:pt idx="12" formatCode="0.0%">
                  <c:v>0</c:v>
                </c:pt>
                <c:pt idx="13" formatCode="0.0%">
                  <c:v>0</c:v>
                </c:pt>
                <c:pt idx="14" formatCode="0.0%">
                  <c:v>0</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solidFill>
                  <a:sysClr val="windowText" lastClr="000000"/>
                </a:solidFill>
                <a:latin typeface="Arial Narrow" panose="020B0606020202030204" pitchFamily="34" charset="0"/>
              </a:rPr>
              <a:t>Historical Investment Efficacy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Data'!$A$37</c:f>
              <c:strCache>
                <c:ptCount val="1"/>
                <c:pt idx="0">
                  <c:v>ESRX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Data'!$B$37:$K$37</c:f>
              <c:numCache>
                <c:formatCode>_(* #,##0_);_(* \(#,##0\);_(* "-"??_);_(@_)</c:formatCode>
                <c:ptCount val="10"/>
                <c:pt idx="0">
                  <c:v>592</c:v>
                </c:pt>
                <c:pt idx="1">
                  <c:v>752.3</c:v>
                </c:pt>
                <c:pt idx="2">
                  <c:v>1017.2</c:v>
                </c:pt>
                <c:pt idx="3">
                  <c:v>1624</c:v>
                </c:pt>
                <c:pt idx="4">
                  <c:v>1997.5</c:v>
                </c:pt>
                <c:pt idx="5">
                  <c:v>2048.6999999999998</c:v>
                </c:pt>
                <c:pt idx="6">
                  <c:v>4621.4000000000005</c:v>
                </c:pt>
                <c:pt idx="7">
                  <c:v>4334.5</c:v>
                </c:pt>
                <c:pt idx="8">
                  <c:v>4112.3999999999996</c:v>
                </c:pt>
                <c:pt idx="9">
                  <c:v>4548</c:v>
                </c:pt>
              </c:numCache>
            </c:numRef>
          </c:val>
          <c:extLst>
            <c:ext xmlns:c16="http://schemas.microsoft.com/office/drawing/2014/chart" uri="{C3380CC4-5D6E-409C-BE32-E72D297353CC}">
              <c16:uniqueId val="{00000000-5AAF-4240-ADEA-D3BAD06AAC9A}"/>
            </c:ext>
          </c:extLst>
        </c:ser>
        <c:ser>
          <c:idx val="1"/>
          <c:order val="1"/>
          <c:tx>
            <c:strRef>
              <c:f>'Graphing Data'!$A$38</c:f>
              <c:strCache>
                <c:ptCount val="1"/>
                <c:pt idx="0">
                  <c:v>ESRX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592</c:v>
                </c:pt>
                <c:pt idx="1">
                  <c:v>618.15700435017493</c:v>
                </c:pt>
                <c:pt idx="2">
                  <c:v>612.26157914190674</c:v>
                </c:pt>
                <c:pt idx="3">
                  <c:v>612.96010918085926</c:v>
                </c:pt>
                <c:pt idx="4">
                  <c:v>640.88868670211264</c:v>
                </c:pt>
                <c:pt idx="5">
                  <c:v>664.24736288419433</c:v>
                </c:pt>
                <c:pt idx="6">
                  <c:v>687.27360609593143</c:v>
                </c:pt>
                <c:pt idx="7">
                  <c:v>718.65696170140188</c:v>
                </c:pt>
                <c:pt idx="8">
                  <c:v>744.97387051832493</c:v>
                </c:pt>
                <c:pt idx="9">
                  <c:v>743.34536976486322</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Data'!$A$39</c:f>
              <c:strCache>
                <c:ptCount val="1"/>
                <c:pt idx="0">
                  <c:v>ESRX - GDP Growth Difference (YoY, %, RHS)</c:v>
                </c:pt>
              </c:strCache>
            </c:strRef>
          </c:tx>
          <c:spPr>
            <a:ln w="19050" cap="rnd">
              <a:solidFill>
                <a:sysClr val="windowText" lastClr="000000"/>
              </a:solidFill>
              <a:prstDash val="dash"/>
              <a:round/>
            </a:ln>
            <a:effectLst/>
          </c:spPr>
          <c:marker>
            <c:symbol val="none"/>
          </c:marker>
          <c:cat>
            <c:numRef>
              <c:f>'Graphing Data'!$B$36:$K$36</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Data'!$B$39:$K$39</c:f>
              <c:numCache>
                <c:formatCode>0%</c:formatCode>
                <c:ptCount val="10"/>
                <c:pt idx="1">
                  <c:v>0.22659289805713678</c:v>
                </c:pt>
                <c:pt idx="2">
                  <c:v>0.36165726489593486</c:v>
                </c:pt>
                <c:pt idx="3">
                  <c:v>0.59539861893963475</c:v>
                </c:pt>
                <c:pt idx="4">
                  <c:v>0.18442423434633648</c:v>
                </c:pt>
                <c:pt idx="5">
                  <c:v>-1.0815281718528746E-2</c:v>
                </c:pt>
                <c:pt idx="6">
                  <c:v>1.2211067897876426</c:v>
                </c:pt>
                <c:pt idx="7">
                  <c:v>-0.10774430901261567</c:v>
                </c:pt>
                <c:pt idx="8">
                  <c:v>-8.7859620619076928E-2</c:v>
                </c:pt>
                <c:pt idx="9">
                  <c:v>0.10810953201388485</c:v>
                </c:pt>
              </c:numCache>
            </c:numRef>
          </c:val>
          <c:smooth val="0"/>
          <c:extLst>
            <c:ext xmlns:c16="http://schemas.microsoft.com/office/drawing/2014/chart" uri="{C3380CC4-5D6E-409C-BE32-E72D297353CC}">
              <c16:uniqueId val="{00000002-5AAF-4240-ADEA-D3BAD06AAC9A}"/>
            </c:ext>
          </c:extLst>
        </c:ser>
        <c:ser>
          <c:idx val="3"/>
          <c:order val="3"/>
          <c:tx>
            <c:strRef>
              <c:f>'Graphing Data'!$A$40</c:f>
              <c:strCache>
                <c:ptCount val="1"/>
                <c:pt idx="0">
                  <c:v>ESRX - GDP Growth Difference (3Y, %, RHS)</c:v>
                </c:pt>
              </c:strCache>
            </c:strRef>
          </c:tx>
          <c:spPr>
            <a:ln w="19050" cap="rnd">
              <a:solidFill>
                <a:sysClr val="windowText" lastClr="000000"/>
              </a:solidFill>
              <a:round/>
            </a:ln>
            <a:effectLst/>
          </c:spPr>
          <c:marker>
            <c:symbol val="none"/>
          </c:marker>
          <c:cat>
            <c:numRef>
              <c:f>'Graphing Data'!$B$36:$K$36</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Data'!$B$40:$K$40</c:f>
              <c:numCache>
                <c:formatCode>0%</c:formatCode>
                <c:ptCount val="10"/>
                <c:pt idx="3">
                  <c:v>0.42550911518800394</c:v>
                </c:pt>
                <c:pt idx="4">
                  <c:v>0.35460525945810284</c:v>
                </c:pt>
                <c:pt idx="5">
                  <c:v>0.19451050694562788</c:v>
                </c:pt>
                <c:pt idx="6">
                  <c:v>0.48987996537466283</c:v>
                </c:pt>
                <c:pt idx="7">
                  <c:v>0.23059253794542323</c:v>
                </c:pt>
                <c:pt idx="8">
                  <c:v>0.14853570801028693</c:v>
                </c:pt>
                <c:pt idx="9">
                  <c:v>-3.1685568549097654E-2</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Express Scripts (ESRX)</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0.2</c:v>
                </c:pt>
                <c:pt idx="2">
                  <c:v>0.4</c:v>
                </c:pt>
                <c:pt idx="3">
                  <c:v>0.6</c:v>
                </c:pt>
                <c:pt idx="4">
                  <c:v>0.8</c:v>
                </c:pt>
                <c:pt idx="5">
                  <c:v>1</c:v>
                </c:pt>
                <c:pt idx="6">
                  <c:v>1.2000000000000002</c:v>
                </c:pt>
                <c:pt idx="7">
                  <c:v>1.4000000000000001</c:v>
                </c:pt>
                <c:pt idx="8">
                  <c:v>1.6</c:v>
                </c:pt>
                <c:pt idx="9">
                  <c:v>1.7999999999999998</c:v>
                </c:pt>
                <c:pt idx="10">
                  <c:v>1.9999999999999998</c:v>
                </c:pt>
                <c:pt idx="11">
                  <c:v>2.1999999999999997</c:v>
                </c:pt>
                <c:pt idx="12">
                  <c:v>2.3999999999999995</c:v>
                </c:pt>
                <c:pt idx="13">
                  <c:v>2.5999999999999996</c:v>
                </c:pt>
                <c:pt idx="14">
                  <c:v>2.8</c:v>
                </c:pt>
                <c:pt idx="15">
                  <c:v>3</c:v>
                </c:pt>
                <c:pt idx="16">
                  <c:v>3.2</c:v>
                </c:pt>
                <c:pt idx="17">
                  <c:v>3.4000000000000004</c:v>
                </c:pt>
                <c:pt idx="18">
                  <c:v>3.6000000000000005</c:v>
                </c:pt>
                <c:pt idx="19">
                  <c:v>3.8000000000000007</c:v>
                </c:pt>
                <c:pt idx="20">
                  <c:v>4.0000000000000009</c:v>
                </c:pt>
                <c:pt idx="21">
                  <c:v>4.2000000000000011</c:v>
                </c:pt>
                <c:pt idx="22">
                  <c:v>4.4000000000000012</c:v>
                </c:pt>
                <c:pt idx="23">
                  <c:v>4.6000000000000014</c:v>
                </c:pt>
                <c:pt idx="24">
                  <c:v>4.8000000000000016</c:v>
                </c:pt>
                <c:pt idx="25">
                  <c:v>5.0000000000000009</c:v>
                </c:pt>
                <c:pt idx="26">
                  <c:v>5.2000000000000011</c:v>
                </c:pt>
                <c:pt idx="27">
                  <c:v>5.4000000000000012</c:v>
                </c:pt>
                <c:pt idx="28">
                  <c:v>5.6000000000000014</c:v>
                </c:pt>
                <c:pt idx="29">
                  <c:v>5.8000000000000016</c:v>
                </c:pt>
                <c:pt idx="30">
                  <c:v>6.0000000000000018</c:v>
                </c:pt>
                <c:pt idx="31">
                  <c:v>6.200000000000002</c:v>
                </c:pt>
                <c:pt idx="32">
                  <c:v>6.4000000000000021</c:v>
                </c:pt>
                <c:pt idx="33">
                  <c:v>6.6000000000000023</c:v>
                </c:pt>
                <c:pt idx="34">
                  <c:v>6.8000000000000025</c:v>
                </c:pt>
                <c:pt idx="35">
                  <c:v>7.0000000000000027</c:v>
                </c:pt>
                <c:pt idx="36">
                  <c:v>7.2000000000000028</c:v>
                </c:pt>
                <c:pt idx="37">
                  <c:v>7.400000000000003</c:v>
                </c:pt>
                <c:pt idx="38">
                  <c:v>7.6000000000000032</c:v>
                </c:pt>
                <c:pt idx="39">
                  <c:v>7.8000000000000034</c:v>
                </c:pt>
                <c:pt idx="40">
                  <c:v>8.0000000000000036</c:v>
                </c:pt>
                <c:pt idx="41">
                  <c:v>8.2000000000000046</c:v>
                </c:pt>
                <c:pt idx="42">
                  <c:v>8.4000000000000039</c:v>
                </c:pt>
                <c:pt idx="43">
                  <c:v>8.600000000000005</c:v>
                </c:pt>
                <c:pt idx="44">
                  <c:v>8.8000000000000043</c:v>
                </c:pt>
                <c:pt idx="45">
                  <c:v>9.0000000000000053</c:v>
                </c:pt>
                <c:pt idx="46">
                  <c:v>9.2000000000000046</c:v>
                </c:pt>
                <c:pt idx="47">
                  <c:v>9.4000000000000057</c:v>
                </c:pt>
                <c:pt idx="48">
                  <c:v>9.600000000000005</c:v>
                </c:pt>
                <c:pt idx="49">
                  <c:v>9.800000000000006</c:v>
                </c:pt>
                <c:pt idx="50">
                  <c:v>10.000000000000004</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0.2</c:v>
                </c:pt>
                <c:pt idx="2">
                  <c:v>0.4</c:v>
                </c:pt>
                <c:pt idx="3">
                  <c:v>0.6</c:v>
                </c:pt>
                <c:pt idx="4">
                  <c:v>0.8</c:v>
                </c:pt>
                <c:pt idx="5">
                  <c:v>1</c:v>
                </c:pt>
                <c:pt idx="6">
                  <c:v>1.2000000000000002</c:v>
                </c:pt>
                <c:pt idx="7">
                  <c:v>1.4000000000000001</c:v>
                </c:pt>
                <c:pt idx="8">
                  <c:v>1.6</c:v>
                </c:pt>
                <c:pt idx="9">
                  <c:v>1.7999999999999998</c:v>
                </c:pt>
                <c:pt idx="10">
                  <c:v>1.9999999999999998</c:v>
                </c:pt>
                <c:pt idx="11">
                  <c:v>2.1999999999999997</c:v>
                </c:pt>
                <c:pt idx="12">
                  <c:v>2.3999999999999995</c:v>
                </c:pt>
                <c:pt idx="13">
                  <c:v>2.5999999999999996</c:v>
                </c:pt>
                <c:pt idx="14">
                  <c:v>2.8</c:v>
                </c:pt>
                <c:pt idx="15">
                  <c:v>3</c:v>
                </c:pt>
                <c:pt idx="16">
                  <c:v>3.2</c:v>
                </c:pt>
                <c:pt idx="17">
                  <c:v>3.4000000000000004</c:v>
                </c:pt>
                <c:pt idx="18">
                  <c:v>3.6000000000000005</c:v>
                </c:pt>
                <c:pt idx="19">
                  <c:v>3.8000000000000007</c:v>
                </c:pt>
                <c:pt idx="20">
                  <c:v>4.0000000000000009</c:v>
                </c:pt>
                <c:pt idx="21">
                  <c:v>4.2000000000000011</c:v>
                </c:pt>
                <c:pt idx="22">
                  <c:v>4.4000000000000012</c:v>
                </c:pt>
                <c:pt idx="23">
                  <c:v>4.6000000000000014</c:v>
                </c:pt>
                <c:pt idx="24">
                  <c:v>4.8000000000000016</c:v>
                </c:pt>
                <c:pt idx="25">
                  <c:v>5.0000000000000009</c:v>
                </c:pt>
                <c:pt idx="26">
                  <c:v>5.2000000000000011</c:v>
                </c:pt>
                <c:pt idx="27">
                  <c:v>5.4000000000000012</c:v>
                </c:pt>
                <c:pt idx="28">
                  <c:v>5.6000000000000014</c:v>
                </c:pt>
                <c:pt idx="29">
                  <c:v>5.8000000000000016</c:v>
                </c:pt>
                <c:pt idx="30">
                  <c:v>6.0000000000000018</c:v>
                </c:pt>
                <c:pt idx="31">
                  <c:v>6.200000000000002</c:v>
                </c:pt>
                <c:pt idx="32">
                  <c:v>6.4000000000000021</c:v>
                </c:pt>
                <c:pt idx="33">
                  <c:v>6.6000000000000023</c:v>
                </c:pt>
                <c:pt idx="34">
                  <c:v>6.8000000000000025</c:v>
                </c:pt>
                <c:pt idx="35">
                  <c:v>7.0000000000000027</c:v>
                </c:pt>
                <c:pt idx="36">
                  <c:v>7.2000000000000028</c:v>
                </c:pt>
                <c:pt idx="37">
                  <c:v>7.400000000000003</c:v>
                </c:pt>
                <c:pt idx="38">
                  <c:v>7.6000000000000032</c:v>
                </c:pt>
                <c:pt idx="39">
                  <c:v>7.8000000000000034</c:v>
                </c:pt>
                <c:pt idx="40">
                  <c:v>8.0000000000000036</c:v>
                </c:pt>
                <c:pt idx="41">
                  <c:v>8.2000000000000046</c:v>
                </c:pt>
                <c:pt idx="42">
                  <c:v>8.4000000000000039</c:v>
                </c:pt>
                <c:pt idx="43">
                  <c:v>8.600000000000005</c:v>
                </c:pt>
                <c:pt idx="44">
                  <c:v>8.8000000000000043</c:v>
                </c:pt>
                <c:pt idx="45">
                  <c:v>9.0000000000000053</c:v>
                </c:pt>
                <c:pt idx="46">
                  <c:v>9.2000000000000046</c:v>
                </c:pt>
                <c:pt idx="47">
                  <c:v>9.4000000000000057</c:v>
                </c:pt>
                <c:pt idx="48">
                  <c:v>9.600000000000005</c:v>
                </c:pt>
                <c:pt idx="49">
                  <c:v>9.800000000000006</c:v>
                </c:pt>
                <c:pt idx="50">
                  <c:v>10.000000000000004</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7.5343673854499541E-269</c:v>
                </c:pt>
                <c:pt idx="1">
                  <c:v>7.9921994464558957E-117</c:v>
                </c:pt>
                <c:pt idx="2">
                  <c:v>7.6265948174794315E-92</c:v>
                </c:pt>
                <c:pt idx="3">
                  <c:v>1.8999876298526262E-78</c:v>
                </c:pt>
                <c:pt idx="4">
                  <c:v>1.5327457281497493E-69</c:v>
                </c:pt>
                <c:pt idx="5">
                  <c:v>5.4824444596229293E-63</c:v>
                </c:pt>
                <c:pt idx="6">
                  <c:v>7.2198804710522151E-58</c:v>
                </c:pt>
                <c:pt idx="7">
                  <c:v>1.0471439588959648E-53</c:v>
                </c:pt>
                <c:pt idx="8">
                  <c:v>3.1624866857701766E-50</c:v>
                </c:pt>
                <c:pt idx="9">
                  <c:v>2.9705368880393143E-47</c:v>
                </c:pt>
                <c:pt idx="10">
                  <c:v>1.134621452025038E-44</c:v>
                </c:pt>
                <c:pt idx="11">
                  <c:v>2.1256279562031872E-42</c:v>
                </c:pt>
                <c:pt idx="12">
                  <c:v>2.2374824953724299E-40</c:v>
                </c:pt>
                <c:pt idx="13">
                  <c:v>1.4646164483328901E-38</c:v>
                </c:pt>
                <c:pt idx="14">
                  <c:v>6.4428649119819258E-37</c:v>
                </c:pt>
                <c:pt idx="15">
                  <c:v>2.0236593960122845E-35</c:v>
                </c:pt>
                <c:pt idx="16">
                  <c:v>4.7622104494910245E-34</c:v>
                </c:pt>
                <c:pt idx="17">
                  <c:v>8.7289780903589584E-33</c:v>
                </c:pt>
                <c:pt idx="18">
                  <c:v>1.2864607096345418E-31</c:v>
                </c:pt>
                <c:pt idx="19">
                  <c:v>1.5650218293692926E-30</c:v>
                </c:pt>
                <c:pt idx="20">
                  <c:v>1.6064809147488436E-29</c:v>
                </c:pt>
                <c:pt idx="21">
                  <c:v>1.417465252881128E-28</c:v>
                </c:pt>
                <c:pt idx="22">
                  <c:v>1.0921471080148574E-27</c:v>
                </c:pt>
                <c:pt idx="23">
                  <c:v>7.448263735198106E-27</c:v>
                </c:pt>
                <c:pt idx="24">
                  <c:v>4.5488828509532151E-26</c:v>
                </c:pt>
                <c:pt idx="25">
                  <c:v>2.5132490403898974E-25</c:v>
                </c:pt>
                <c:pt idx="26">
                  <c:v>1.2673505209748688E-24</c:v>
                </c:pt>
                <c:pt idx="27">
                  <c:v>5.8785467496683701E-24</c:v>
                </c:pt>
                <c:pt idx="28">
                  <c:v>2.5254594546539366E-23</c:v>
                </c:pt>
                <c:pt idx="29">
                  <c:v>1.0110096361891065E-22</c:v>
                </c:pt>
                <c:pt idx="30">
                  <c:v>3.7920337332105759E-22</c:v>
                </c:pt>
                <c:pt idx="31">
                  <c:v>1.3390563525094118E-21</c:v>
                </c:pt>
                <c:pt idx="32">
                  <c:v>4.4712263515232046E-21</c:v>
                </c:pt>
                <c:pt idx="33">
                  <c:v>1.4172897027228976E-20</c:v>
                </c:pt>
                <c:pt idx="34">
                  <c:v>4.2798955249944573E-20</c:v>
                </c:pt>
                <c:pt idx="35">
                  <c:v>1.2352194665718438E-19</c:v>
                </c:pt>
                <c:pt idx="36">
                  <c:v>3.4171026517494941E-19</c:v>
                </c:pt>
                <c:pt idx="37">
                  <c:v>9.0850799748681007E-19</c:v>
                </c:pt>
                <c:pt idx="38">
                  <c:v>2.3270743962367732E-18</c:v>
                </c:pt>
                <c:pt idx="39">
                  <c:v>5.7552944077789162E-18</c:v>
                </c:pt>
                <c:pt idx="40">
                  <c:v>1.3771654288725358E-17</c:v>
                </c:pt>
                <c:pt idx="41">
                  <c:v>3.1943341224690412E-17</c:v>
                </c:pt>
                <c:pt idx="42">
                  <c:v>7.1945013412482954E-17</c:v>
                </c:pt>
                <c:pt idx="43">
                  <c:v>1.5759415698929971E-16</c:v>
                </c:pt>
                <c:pt idx="44">
                  <c:v>3.3623240759486176E-16</c:v>
                </c:pt>
                <c:pt idx="45">
                  <c:v>6.9966970385140002E-16</c:v>
                </c:pt>
                <c:pt idx="46">
                  <c:v>1.4218441120238253E-15</c:v>
                </c:pt>
                <c:pt idx="47">
                  <c:v>2.8250683428769212E-15</c:v>
                </c:pt>
                <c:pt idx="48">
                  <c:v>5.4941607579437275E-15</c:v>
                </c:pt>
                <c:pt idx="49">
                  <c:v>1.0469221227352553E-14</c:v>
                </c:pt>
                <c:pt idx="50">
                  <c:v>1.9565175787617468E-14</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7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76"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76"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8641953" cy="629046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1953" cy="629046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0230" cy="62915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0.09393</cdr:x>
      <cdr:y>0.07413</cdr:y>
    </cdr:from>
    <cdr:to>
      <cdr:x>0.37342</cdr:x>
      <cdr:y>0.18297</cdr:y>
    </cdr:to>
    <cdr:sp macro="" textlink="">
      <cdr:nvSpPr>
        <cdr:cNvPr id="2" name="TextBox 1"/>
        <cdr:cNvSpPr txBox="1"/>
      </cdr:nvSpPr>
      <cdr:spPr>
        <a:xfrm xmlns:a="http://schemas.openxmlformats.org/drawingml/2006/main">
          <a:off x="813593" y="466327"/>
          <a:ext cx="2420937" cy="6846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a:latin typeface="Arial Narrow" panose="020B0606020202030204" pitchFamily="34" charset="0"/>
            </a:rPr>
            <a:t>Owners' Cash</a:t>
          </a:r>
          <a:r>
            <a:rPr lang="en-US" sz="1200" baseline="0">
              <a:latin typeface="Arial Narrow" panose="020B0606020202030204" pitchFamily="34" charset="0"/>
            </a:rPr>
            <a:t> Profits</a:t>
          </a:r>
        </a:p>
        <a:p xmlns:a="http://schemas.openxmlformats.org/drawingml/2006/main">
          <a:r>
            <a:rPr lang="en-US" sz="1200" baseline="0">
              <a:latin typeface="Arial Narrow" panose="020B0606020202030204" pitchFamily="34" charset="0"/>
            </a:rPr>
            <a:t>Expansionary Cash Flow</a:t>
          </a:r>
        </a:p>
      </cdr:txBody>
    </cdr:sp>
  </cdr:relSizeAnchor>
  <cdr:relSizeAnchor xmlns:cdr="http://schemas.openxmlformats.org/drawingml/2006/chartDrawing">
    <cdr:from>
      <cdr:x>0.28522</cdr:x>
      <cdr:y>0.07886</cdr:y>
    </cdr:from>
    <cdr:to>
      <cdr:x>0.37113</cdr:x>
      <cdr:y>0.10252</cdr:y>
    </cdr:to>
    <cdr:sp macro="" textlink="">
      <cdr:nvSpPr>
        <cdr:cNvPr id="3" name="Rectangle 2"/>
        <cdr:cNvSpPr/>
      </cdr:nvSpPr>
      <cdr:spPr>
        <a:xfrm xmlns:a="http://schemas.openxmlformats.org/drawingml/2006/main">
          <a:off x="2470547" y="496094"/>
          <a:ext cx="744141" cy="148828"/>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0.28536</cdr:x>
      <cdr:y>0.11691</cdr:y>
    </cdr:from>
    <cdr:to>
      <cdr:x>0.37127</cdr:x>
      <cdr:y>0.13249</cdr:y>
    </cdr:to>
    <cdr:sp macro="" textlink="">
      <cdr:nvSpPr>
        <cdr:cNvPr id="4" name="Rectangle 3"/>
        <cdr:cNvSpPr/>
      </cdr:nvSpPr>
      <cdr:spPr>
        <a:xfrm xmlns:a="http://schemas.openxmlformats.org/drawingml/2006/main">
          <a:off x="2471738" y="735409"/>
          <a:ext cx="744141" cy="98029"/>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660230" cy="62915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0230" cy="62915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1797" cy="629046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3836" cy="62891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sheetData sheetId="1"/>
      <sheetData sheetId="2"/>
      <sheetData sheetId="3"/>
      <sheetData sheetId="4"/>
      <sheetData sheetId="5"/>
      <sheetData sheetId="6">
        <row r="3">
          <cell r="B3" t="b">
            <v>0</v>
          </cell>
        </row>
        <row r="5">
          <cell r="B5" t="b">
            <v>0</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145"/>
  <sheetViews>
    <sheetView showGridLines="0" zoomScaleNormal="100" workbookViewId="0">
      <selection activeCell="G4" sqref="G4"/>
    </sheetView>
  </sheetViews>
  <sheetFormatPr defaultRowHeight="15"/>
  <cols>
    <col min="1" max="1" width="38.75" bestFit="1" customWidth="1"/>
    <col min="2" max="7" width="11.75" customWidth="1"/>
    <col min="8" max="9" width="10.625" bestFit="1" customWidth="1"/>
    <col min="10" max="10" width="11.375" customWidth="1"/>
    <col min="11" max="11" width="10.625" bestFit="1" customWidth="1"/>
    <col min="12" max="13" width="9.625" bestFit="1" customWidth="1"/>
    <col min="14" max="14" width="10.625" bestFit="1" customWidth="1"/>
    <col min="15" max="15" width="11.625" bestFit="1" customWidth="1"/>
  </cols>
  <sheetData>
    <row r="1" spans="1:13" ht="15.75" thickBot="1">
      <c r="A1" s="139" t="s">
        <v>61</v>
      </c>
      <c r="B1" s="139"/>
      <c r="C1" s="139"/>
      <c r="D1" s="139"/>
      <c r="E1" s="139"/>
      <c r="F1" s="139"/>
      <c r="G1" s="139"/>
      <c r="I1" s="148" t="s">
        <v>51</v>
      </c>
      <c r="J1" s="149"/>
      <c r="K1" s="92" t="s">
        <v>58</v>
      </c>
      <c r="L1" s="64" t="s">
        <v>108</v>
      </c>
    </row>
    <row r="2" spans="1:13">
      <c r="A2" s="52" t="s">
        <v>189</v>
      </c>
      <c r="B2" s="45" t="s">
        <v>190</v>
      </c>
      <c r="C2" s="99" t="str">
        <f>A2&amp;" ("&amp;ticker&amp;")"</f>
        <v>Express Scripts (ESRX)</v>
      </c>
      <c r="E2" s="3" t="s">
        <v>57</v>
      </c>
      <c r="F2" s="3"/>
      <c r="G2" s="51">
        <v>72</v>
      </c>
      <c r="I2" s="144" t="e">
        <f>(ROUND(AVERAGE(C9:G9)*100,0)&amp;"% | "&amp;ROUND(AVERAGE(C11:G11)*100,0)&amp;"% | "&amp;ROUND(C18*100,0)&amp;"%")</f>
        <v>#DIV/0!</v>
      </c>
      <c r="J2" s="145"/>
      <c r="K2" s="93">
        <f ca="1">TRUNC(Scenario1)+B13/G4</f>
        <v>0</v>
      </c>
      <c r="L2" s="95" t="s">
        <v>53</v>
      </c>
      <c r="M2" s="46"/>
    </row>
    <row r="3" spans="1:13">
      <c r="A3" t="s">
        <v>0</v>
      </c>
      <c r="B3" s="13">
        <v>42369</v>
      </c>
      <c r="E3" t="s">
        <v>60</v>
      </c>
      <c r="G3" s="32">
        <f>'Company Analysis'!K3</f>
        <v>101751.8</v>
      </c>
      <c r="I3" s="144" t="e">
        <f>(ROUND(AVERAGE(C9:G9)*100,0)&amp;"% | "&amp;ROUND(AVERAGE(C11:G11)*100,0)&amp;"% | "&amp;ROUND(C17*100,0)&amp;"%")</f>
        <v>#DIV/0!</v>
      </c>
      <c r="J3" s="145"/>
      <c r="K3" s="93">
        <f ca="1">TRUNC(Scenario2)+B13/G4</f>
        <v>0</v>
      </c>
      <c r="L3" s="95" t="s">
        <v>53</v>
      </c>
      <c r="M3" s="47"/>
    </row>
    <row r="4" spans="1:13" ht="15.75" thickBot="1">
      <c r="A4" s="69" t="s">
        <v>1</v>
      </c>
      <c r="B4" s="53">
        <v>0.1</v>
      </c>
      <c r="C4" s="12"/>
      <c r="D4" s="12"/>
      <c r="E4" s="12" t="s">
        <v>6</v>
      </c>
      <c r="F4" s="12"/>
      <c r="G4" s="54">
        <v>854</v>
      </c>
      <c r="I4" s="144" t="e">
        <f>(ROUND(AVERAGE(C9:G9)*100,0)&amp;"% | "&amp;ROUND(AVERAGE(C10:G10)*100,0)&amp;"% | "&amp;ROUND(C18*100,0)&amp;"%")</f>
        <v>#DIV/0!</v>
      </c>
      <c r="J4" s="145"/>
      <c r="K4" s="93">
        <f ca="1">TRUNC(Scenario3)+B13/G4</f>
        <v>0</v>
      </c>
      <c r="L4" s="96" t="s">
        <v>53</v>
      </c>
      <c r="M4" s="48"/>
    </row>
    <row r="5" spans="1:13">
      <c r="B5" s="2"/>
      <c r="I5" s="144" t="e">
        <f>(ROUND(AVERAGE(C9:G9)*100,0)&amp;"% | "&amp;ROUND(AVERAGE(C10:G10)*100,0)&amp;"% | "&amp;ROUND(C17*100,0)&amp;"%")</f>
        <v>#DIV/0!</v>
      </c>
      <c r="J5" s="145"/>
      <c r="K5" s="93">
        <f ca="1">TRUNC(Scenario4)+B13/G4</f>
        <v>0</v>
      </c>
      <c r="L5" s="96" t="s">
        <v>53</v>
      </c>
      <c r="M5" s="48"/>
    </row>
    <row r="6" spans="1:13" s="9" customFormat="1" ht="15.75" thickBot="1">
      <c r="A6" s="139" t="s">
        <v>96</v>
      </c>
      <c r="B6" s="139"/>
      <c r="C6" s="139"/>
      <c r="D6" s="139"/>
      <c r="E6" s="139"/>
      <c r="F6" s="139"/>
      <c r="G6" s="139"/>
      <c r="H6" s="8"/>
      <c r="I6" s="144" t="e">
        <f>(ROUND(AVERAGE(C8:G8)*100,0)&amp;"% | "&amp;ROUND(AVERAGE(C11:G11)*100,0)&amp;"% | "&amp;ROUND(C18*100,0)&amp;"%")</f>
        <v>#DIV/0!</v>
      </c>
      <c r="J6" s="145"/>
      <c r="K6" s="93">
        <f ca="1">TRUNC(Scenario5)+B13/G4</f>
        <v>0</v>
      </c>
      <c r="L6" s="95" t="s">
        <v>53</v>
      </c>
      <c r="M6" s="49"/>
    </row>
    <row r="7" spans="1:13">
      <c r="A7" s="7"/>
      <c r="B7" s="7" t="s">
        <v>2</v>
      </c>
      <c r="C7" s="41">
        <v>1</v>
      </c>
      <c r="D7" s="41">
        <v>2</v>
      </c>
      <c r="E7" s="41">
        <v>3</v>
      </c>
      <c r="F7" s="41">
        <v>4</v>
      </c>
      <c r="G7" s="41">
        <v>5</v>
      </c>
      <c r="I7" s="144" t="e">
        <f>(ROUND(AVERAGE(C8:G8)*100,0)&amp;"% | "&amp;ROUND(AVERAGE(C11:G11)*100,0)&amp;"% | "&amp;ROUND(C17*100,0)&amp;"%")</f>
        <v>#DIV/0!</v>
      </c>
      <c r="J7" s="145"/>
      <c r="K7" s="93">
        <f ca="1">TRUNC(Scenario6)+B13/G4</f>
        <v>0</v>
      </c>
      <c r="L7" s="97" t="s">
        <v>53</v>
      </c>
    </row>
    <row r="8" spans="1:13">
      <c r="A8" s="142" t="s">
        <v>5</v>
      </c>
      <c r="B8" s="22" t="s">
        <v>3</v>
      </c>
      <c r="C8" s="23"/>
      <c r="D8" s="23"/>
      <c r="E8" s="23"/>
      <c r="F8" s="23"/>
      <c r="G8" s="23"/>
      <c r="I8" s="144" t="e">
        <f>(ROUND(AVERAGE(C8:G8)*100,0)&amp;"% | "&amp;ROUND(AVERAGE(C10:G10)*100,0)&amp;"% | "&amp;ROUND(C18*100,0)&amp;"%")</f>
        <v>#DIV/0!</v>
      </c>
      <c r="J8" s="145"/>
      <c r="K8" s="93">
        <f ca="1">TRUNC(Scenario7)+B13/G4</f>
        <v>0</v>
      </c>
      <c r="L8" s="97" t="s">
        <v>53</v>
      </c>
    </row>
    <row r="9" spans="1:13">
      <c r="A9" s="143"/>
      <c r="B9" s="14" t="s">
        <v>4</v>
      </c>
      <c r="C9" s="24"/>
      <c r="D9" s="24"/>
      <c r="E9" s="24"/>
      <c r="F9" s="24"/>
      <c r="G9" s="24"/>
      <c r="I9" s="146" t="e">
        <f>(ROUND(AVERAGE(C8:G8)*100,0)&amp;"% | "&amp;ROUND(AVERAGE(C10:G10)*100,0)&amp;"% | "&amp;ROUND(C17*100,0)&amp;"%")</f>
        <v>#DIV/0!</v>
      </c>
      <c r="J9" s="147"/>
      <c r="K9" s="94">
        <f ca="1">TRUNC(Scenario8)+B13/G4</f>
        <v>0</v>
      </c>
      <c r="L9" s="98" t="s">
        <v>53</v>
      </c>
    </row>
    <row r="10" spans="1:13">
      <c r="A10" s="140" t="s">
        <v>124</v>
      </c>
      <c r="B10" s="22" t="s">
        <v>3</v>
      </c>
      <c r="C10" s="23"/>
      <c r="D10" s="23"/>
      <c r="E10" s="23"/>
      <c r="F10" s="23"/>
      <c r="G10" s="23"/>
    </row>
    <row r="11" spans="1:13">
      <c r="A11" s="141"/>
      <c r="B11" s="14" t="s">
        <v>4</v>
      </c>
      <c r="C11" s="25"/>
      <c r="D11" s="25"/>
      <c r="E11" s="25"/>
      <c r="F11" s="25"/>
      <c r="G11" s="25"/>
      <c r="I11" s="150" t="str">
        <f>A2&amp;" ("&amp;B2&amp;")"</f>
        <v>Express Scripts (ESRX)</v>
      </c>
      <c r="J11" s="151"/>
      <c r="K11" s="151"/>
      <c r="L11" s="152"/>
    </row>
    <row r="12" spans="1:13">
      <c r="A12" s="1" t="s">
        <v>62</v>
      </c>
      <c r="B12" s="14"/>
      <c r="C12" s="26"/>
      <c r="D12" s="26"/>
      <c r="E12" s="26"/>
      <c r="F12" s="26"/>
      <c r="G12" s="26"/>
      <c r="I12" s="153" t="str">
        <f ca="1">"$"&amp;ROUND(F21/G4,0)&amp;" Scenario"</f>
        <v>$0 Scenario</v>
      </c>
      <c r="J12" s="154"/>
      <c r="K12" s="154"/>
      <c r="L12" s="155"/>
    </row>
    <row r="13" spans="1:13">
      <c r="A13" s="68" t="s">
        <v>10</v>
      </c>
      <c r="B13" s="27">
        <v>0</v>
      </c>
      <c r="I13" s="74" t="s">
        <v>16</v>
      </c>
      <c r="K13" s="75"/>
      <c r="L13" s="66" t="s">
        <v>3</v>
      </c>
    </row>
    <row r="14" spans="1:13">
      <c r="B14" s="2"/>
      <c r="I14" s="72" t="s">
        <v>17</v>
      </c>
      <c r="K14" s="73"/>
      <c r="L14" s="66" t="s">
        <v>4</v>
      </c>
    </row>
    <row r="15" spans="1:13" ht="15.75" thickBot="1">
      <c r="A15" s="139" t="s">
        <v>97</v>
      </c>
      <c r="B15" s="139"/>
      <c r="C15" s="139"/>
      <c r="D15" s="3"/>
      <c r="E15" s="139" t="s">
        <v>98</v>
      </c>
      <c r="F15" s="139"/>
      <c r="G15" s="139"/>
      <c r="I15" s="76" t="s">
        <v>118</v>
      </c>
      <c r="J15" s="77"/>
      <c r="K15" s="77"/>
      <c r="L15" s="67" t="s">
        <v>4</v>
      </c>
    </row>
    <row r="16" spans="1:13">
      <c r="A16" s="68" t="s">
        <v>11</v>
      </c>
      <c r="B16" s="28">
        <v>5</v>
      </c>
      <c r="C16" t="s">
        <v>12</v>
      </c>
      <c r="E16" s="29" t="s">
        <v>14</v>
      </c>
      <c r="G16" s="33">
        <v>2.5000000000000001E-2</v>
      </c>
      <c r="I16" s="50" t="s">
        <v>117</v>
      </c>
      <c r="K16" s="3"/>
      <c r="L16" s="58">
        <f>(F26/G3)^0.2-1</f>
        <v>0</v>
      </c>
    </row>
    <row r="17" spans="1:12">
      <c r="A17" s="160" t="s">
        <v>59</v>
      </c>
      <c r="B17" s="21" t="s">
        <v>3</v>
      </c>
      <c r="C17" s="23">
        <v>0.05</v>
      </c>
      <c r="D17" s="38">
        <f>IF(C17=B$4,C17-0.0001,C17)</f>
        <v>0.05</v>
      </c>
      <c r="E17" s="29" t="s">
        <v>15</v>
      </c>
      <c r="G17" s="33">
        <v>2.5000000000000001E-2</v>
      </c>
      <c r="I17" s="72" t="s">
        <v>116</v>
      </c>
      <c r="K17" s="73"/>
      <c r="L17" s="55">
        <f>SUM(B29:F29)/SUM(B26:F26)</f>
        <v>0</v>
      </c>
    </row>
    <row r="18" spans="1:12">
      <c r="A18" s="161"/>
      <c r="B18" s="15" t="s">
        <v>4</v>
      </c>
      <c r="C18" s="24">
        <v>0.05</v>
      </c>
      <c r="D18" s="38">
        <f>IF(C18=B$4,C18-0.0001,C18)</f>
        <v>0.05</v>
      </c>
      <c r="G18" s="11"/>
      <c r="I18" s="76" t="s">
        <v>119</v>
      </c>
      <c r="K18" s="29"/>
      <c r="L18" s="57">
        <f ca="1">(F21/G4)/G2-1</f>
        <v>-1</v>
      </c>
    </row>
    <row r="19" spans="1:12">
      <c r="C19" s="3"/>
      <c r="D19" s="3"/>
      <c r="E19" s="3"/>
      <c r="F19" s="3"/>
      <c r="J19" s="56"/>
      <c r="K19" s="56"/>
      <c r="L19" s="56"/>
    </row>
    <row r="20" spans="1:12" ht="15.75" thickBot="1">
      <c r="A20" s="60" t="s">
        <v>7</v>
      </c>
      <c r="B20" s="65" t="s">
        <v>92</v>
      </c>
      <c r="C20" s="65" t="s">
        <v>93</v>
      </c>
      <c r="D20" s="65" t="s">
        <v>94</v>
      </c>
      <c r="E20" s="65" t="s">
        <v>95</v>
      </c>
      <c r="F20" s="65" t="s">
        <v>8</v>
      </c>
      <c r="I20" s="156" t="s">
        <v>123</v>
      </c>
      <c r="J20" s="157"/>
      <c r="K20" s="157"/>
      <c r="L20" s="158"/>
    </row>
    <row r="21" spans="1:12">
      <c r="A21" s="16" t="s">
        <v>13</v>
      </c>
      <c r="B21" s="17">
        <f ca="1">SUM(B43:F43)</f>
        <v>0</v>
      </c>
      <c r="C21" s="17">
        <f ca="1">B54*F43</f>
        <v>0</v>
      </c>
      <c r="D21" s="17">
        <f ca="1">B51*B50</f>
        <v>0</v>
      </c>
      <c r="E21" s="17">
        <f>B13</f>
        <v>0</v>
      </c>
      <c r="F21" s="17">
        <f ca="1">B21+C21+D21+E21</f>
        <v>0</v>
      </c>
      <c r="I21" s="102"/>
      <c r="J21" s="103"/>
      <c r="K21" s="70" t="s">
        <v>120</v>
      </c>
      <c r="L21" s="71" t="s">
        <v>121</v>
      </c>
    </row>
    <row r="22" spans="1:12">
      <c r="A22" s="16" t="s">
        <v>9</v>
      </c>
      <c r="B22" s="61" t="str">
        <f ca="1">IFERROR(B21/$F21,"")</f>
        <v/>
      </c>
      <c r="C22" s="61" t="str">
        <f ca="1">IFERROR(C21/$F21,"")</f>
        <v/>
      </c>
      <c r="D22" s="61" t="str">
        <f ca="1">IFERROR(D21/$F21,"")</f>
        <v/>
      </c>
      <c r="E22" s="61" t="str">
        <f ca="1">IFERROR(E21/$F21,"")</f>
        <v/>
      </c>
      <c r="F22" s="61">
        <v>1</v>
      </c>
      <c r="I22" s="101" t="s">
        <v>122</v>
      </c>
      <c r="J22" s="15"/>
      <c r="K22" s="104">
        <v>0.25</v>
      </c>
      <c r="L22" s="105">
        <v>0.25600000000000001</v>
      </c>
    </row>
    <row r="23" spans="1:12">
      <c r="A23" s="16"/>
      <c r="B23" s="20"/>
      <c r="C23" s="20"/>
      <c r="D23" s="20"/>
      <c r="E23" s="20"/>
      <c r="F23" s="20"/>
    </row>
    <row r="24" spans="1:12" ht="15.75" hidden="1" customHeight="1" thickBot="1">
      <c r="A24" s="60" t="s">
        <v>74</v>
      </c>
      <c r="B24" s="62">
        <v>1</v>
      </c>
      <c r="C24" s="62">
        <v>2</v>
      </c>
      <c r="D24" s="62">
        <v>3</v>
      </c>
      <c r="E24" s="62">
        <v>4</v>
      </c>
      <c r="F24" s="62">
        <v>5</v>
      </c>
      <c r="I24" t="s">
        <v>115</v>
      </c>
      <c r="K24" s="100">
        <v>0.25</v>
      </c>
      <c r="L24" s="100">
        <v>0.25</v>
      </c>
    </row>
    <row r="25" spans="1:12" s="9" customFormat="1" ht="12" hidden="1" customHeight="1">
      <c r="B25" s="34">
        <f>DATE(YEAR($B$3)+B24,MONTH($B$3),DAY($B$3))</f>
        <v>42735</v>
      </c>
      <c r="C25" s="34">
        <f t="shared" ref="C25:F25" si="0">DATE(YEAR($B$3)+C24,MONTH($B$3),DAY($B$3))</f>
        <v>43100</v>
      </c>
      <c r="D25" s="34">
        <f t="shared" si="0"/>
        <v>43465</v>
      </c>
      <c r="E25" s="34">
        <f t="shared" si="0"/>
        <v>43830</v>
      </c>
      <c r="F25" s="34">
        <f t="shared" si="0"/>
        <v>44196</v>
      </c>
      <c r="I25" s="9" t="s">
        <v>57</v>
      </c>
      <c r="L25" s="9">
        <v>26.29</v>
      </c>
    </row>
    <row r="26" spans="1:12" hidden="1">
      <c r="A26" t="s">
        <v>37</v>
      </c>
      <c r="B26" s="31">
        <f>(CHOOSE($B36,C8,C9)+1)*G3</f>
        <v>101751.8</v>
      </c>
      <c r="C26" s="31">
        <f>(CHOOSE($B36,D8,D9)+1)*B26</f>
        <v>101751.8</v>
      </c>
      <c r="D26" s="31">
        <f>(CHOOSE($B36,E8,E9)+1)*C26</f>
        <v>101751.8</v>
      </c>
      <c r="E26" s="31">
        <f>(CHOOSE($B36,F8,F9)+1)*D26</f>
        <v>101751.8</v>
      </c>
      <c r="F26" s="31">
        <f>(CHOOSE($B36,G8,G9)+1)*E26</f>
        <v>101751.8</v>
      </c>
    </row>
    <row r="27" spans="1:12" hidden="1">
      <c r="A27" t="s">
        <v>71</v>
      </c>
      <c r="B27" s="59">
        <f>CHOOSE($B37,C10,C11)*B26</f>
        <v>0</v>
      </c>
      <c r="C27" s="5">
        <f>CHOOSE($B37,D10,D11)*C26</f>
        <v>0</v>
      </c>
      <c r="D27" s="5">
        <f>CHOOSE($B37,E10,E11)*D26</f>
        <v>0</v>
      </c>
      <c r="E27" s="5">
        <f>CHOOSE($B37,F10,F11)*E26</f>
        <v>0</v>
      </c>
      <c r="F27" s="5">
        <f>CHOOSE($B37,G10,G11)*F26</f>
        <v>0</v>
      </c>
    </row>
    <row r="28" spans="1:12" hidden="1">
      <c r="A28" t="s">
        <v>72</v>
      </c>
      <c r="B28" s="59">
        <f>-C12*B27</f>
        <v>0</v>
      </c>
      <c r="C28" s="59">
        <f t="shared" ref="C28:E28" si="1">-D12*C27</f>
        <v>0</v>
      </c>
      <c r="D28" s="59">
        <f t="shared" si="1"/>
        <v>0</v>
      </c>
      <c r="E28" s="59">
        <f t="shared" si="1"/>
        <v>0</v>
      </c>
      <c r="F28" s="59">
        <f>-G12*F27</f>
        <v>0</v>
      </c>
    </row>
    <row r="29" spans="1:12" ht="15.75" hidden="1" thickBot="1">
      <c r="A29" t="s">
        <v>73</v>
      </c>
      <c r="B29" s="4">
        <f>B27+B28</f>
        <v>0</v>
      </c>
      <c r="C29" s="4">
        <f>C27+C28</f>
        <v>0</v>
      </c>
      <c r="D29" s="4">
        <f>D27+D28</f>
        <v>0</v>
      </c>
      <c r="E29" s="4">
        <f>E27+E28</f>
        <v>0</v>
      </c>
      <c r="F29" s="4">
        <f>F27+F28</f>
        <v>0</v>
      </c>
    </row>
    <row r="30" spans="1:12" ht="15.75" hidden="1" thickTop="1">
      <c r="B30" s="63"/>
      <c r="C30" s="63"/>
      <c r="D30" s="63"/>
      <c r="E30" s="63"/>
      <c r="F30" s="63"/>
    </row>
    <row r="31" spans="1:12" hidden="1">
      <c r="B31" s="36" t="s">
        <v>20</v>
      </c>
      <c r="E31" s="36" t="s">
        <v>52</v>
      </c>
    </row>
    <row r="32" spans="1:12" hidden="1">
      <c r="B32" s="30" t="s">
        <v>3</v>
      </c>
      <c r="E32" s="30" t="s">
        <v>55</v>
      </c>
    </row>
    <row r="33" spans="1:16" hidden="1">
      <c r="B33" s="30" t="s">
        <v>4</v>
      </c>
      <c r="E33" s="30" t="s">
        <v>53</v>
      </c>
    </row>
    <row r="34" spans="1:16" hidden="1">
      <c r="E34" s="30" t="s">
        <v>54</v>
      </c>
    </row>
    <row r="35" spans="1:16" hidden="1">
      <c r="A35" s="10" t="s">
        <v>34</v>
      </c>
    </row>
    <row r="36" spans="1:16" hidden="1">
      <c r="A36" t="s">
        <v>16</v>
      </c>
      <c r="B36">
        <f>IF(L13="Best",1,2)</f>
        <v>1</v>
      </c>
    </row>
    <row r="37" spans="1:16" hidden="1">
      <c r="A37" t="s">
        <v>19</v>
      </c>
      <c r="B37">
        <f>IF(L14="Best",1,2)</f>
        <v>2</v>
      </c>
    </row>
    <row r="38" spans="1:16" hidden="1">
      <c r="A38" t="s">
        <v>18</v>
      </c>
      <c r="B38">
        <f>IF(L15="Best",1,2)</f>
        <v>2</v>
      </c>
    </row>
    <row r="39" spans="1:16" hidden="1"/>
    <row r="40" spans="1:16" hidden="1"/>
    <row r="41" spans="1:16" hidden="1">
      <c r="A41" s="159" t="s">
        <v>35</v>
      </c>
      <c r="B41" s="159"/>
      <c r="C41" s="159"/>
      <c r="D41" s="159"/>
      <c r="E41" s="159"/>
      <c r="F41" s="159"/>
    </row>
    <row r="42" spans="1:16" hidden="1">
      <c r="A42" t="s">
        <v>21</v>
      </c>
      <c r="B42" s="19">
        <f ca="1">B25-TODAY()</f>
        <v>107</v>
      </c>
      <c r="C42" s="19">
        <f ca="1">C25-TODAY()</f>
        <v>472</v>
      </c>
      <c r="D42" s="19">
        <f ca="1">D25-TODAY()</f>
        <v>837</v>
      </c>
      <c r="E42" s="19">
        <f ca="1">E25-TODAY()</f>
        <v>1202</v>
      </c>
      <c r="F42" s="19">
        <f ca="1">F25-TODAY()</f>
        <v>1568</v>
      </c>
      <c r="P42" s="39"/>
    </row>
    <row r="43" spans="1:16" hidden="1">
      <c r="A43" t="s">
        <v>22</v>
      </c>
      <c r="B43" s="17">
        <f ca="1">B29*EXP(-$B$4*B42/365.25)</f>
        <v>0</v>
      </c>
      <c r="C43" s="17">
        <f ca="1">C29*EXP(-$B$4*C42/365.25)</f>
        <v>0</v>
      </c>
      <c r="D43" s="17">
        <f ca="1">D29*EXP(-$B$4*D42/365.25)</f>
        <v>0</v>
      </c>
      <c r="E43" s="17">
        <f ca="1">E29*EXP(-$B$4*E42/365.25)</f>
        <v>0</v>
      </c>
      <c r="F43" s="17">
        <f ca="1">F29*EXP(-$B$4*F42/365.25)</f>
        <v>0</v>
      </c>
      <c r="O43" s="40"/>
    </row>
    <row r="44" spans="1:16" hidden="1"/>
    <row r="45" spans="1:16" hidden="1">
      <c r="A45" s="6" t="s">
        <v>26</v>
      </c>
      <c r="B45">
        <f>MONTH(B3)</f>
        <v>12</v>
      </c>
    </row>
    <row r="46" spans="1:16" hidden="1">
      <c r="A46" s="6" t="s">
        <v>27</v>
      </c>
      <c r="B46">
        <f>DAY(B3)</f>
        <v>31</v>
      </c>
    </row>
    <row r="47" spans="1:16" hidden="1">
      <c r="A47" s="6" t="s">
        <v>23</v>
      </c>
      <c r="B47">
        <f>YEAR(F25)+B16</f>
        <v>2025</v>
      </c>
    </row>
    <row r="48" spans="1:16" hidden="1">
      <c r="A48" s="6" t="s">
        <v>28</v>
      </c>
      <c r="B48">
        <f ca="1">DATE(B47,B45,B46)-TODAY()</f>
        <v>3394</v>
      </c>
      <c r="C48" s="35"/>
    </row>
    <row r="49" spans="1:7" hidden="1">
      <c r="A49" s="6" t="s">
        <v>24</v>
      </c>
      <c r="B49" s="17">
        <f>F29*EXP(CHOOSE(B38,C17,C18)*B16)</f>
        <v>0</v>
      </c>
    </row>
    <row r="50" spans="1:7" hidden="1">
      <c r="A50" s="6" t="s">
        <v>29</v>
      </c>
      <c r="B50" s="17">
        <f ca="1">B49*EXP(-B4*B48/365.25)</f>
        <v>0</v>
      </c>
    </row>
    <row r="51" spans="1:7" hidden="1">
      <c r="A51" s="6" t="s">
        <v>31</v>
      </c>
      <c r="B51" s="17">
        <f>(1+SUM(G16,G17))/(B4-SUM(G16,G17))</f>
        <v>21</v>
      </c>
    </row>
    <row r="52" spans="1:7" hidden="1">
      <c r="A52" s="6" t="s">
        <v>32</v>
      </c>
      <c r="B52" s="18">
        <f>(1+CHOOSE(B38,D17,D18))/(B4-(CHOOSE(B38,D17,D18)))</f>
        <v>21</v>
      </c>
      <c r="F52" s="39"/>
    </row>
    <row r="53" spans="1:7" hidden="1">
      <c r="A53" s="6" t="s">
        <v>33</v>
      </c>
      <c r="B53" s="39">
        <f>1-(((1+CHOOSE(B38,D17,D18))/(1+B4))^B16)</f>
        <v>0.20752956361649433</v>
      </c>
      <c r="F53" s="40"/>
    </row>
    <row r="54" spans="1:7" hidden="1">
      <c r="A54" s="6" t="s">
        <v>30</v>
      </c>
      <c r="B54" s="37">
        <f>B52*B53</f>
        <v>4.358120835946381</v>
      </c>
    </row>
    <row r="55" spans="1:7" hidden="1"/>
    <row r="56" spans="1:7" hidden="1"/>
    <row r="57" spans="1:7" hidden="1">
      <c r="A57" s="42" t="s">
        <v>36</v>
      </c>
    </row>
    <row r="58" spans="1:7" hidden="1">
      <c r="A58" t="s">
        <v>37</v>
      </c>
      <c r="B58" s="18">
        <f>$G$3*(1+C$9)</f>
        <v>101751.8</v>
      </c>
      <c r="C58" s="18">
        <f>B58*(1+D$9)</f>
        <v>101751.8</v>
      </c>
      <c r="D58" s="18">
        <f>C58*(1+E$9)</f>
        <v>101751.8</v>
      </c>
      <c r="E58" s="18">
        <f>D58*(1+F$9)</f>
        <v>101751.8</v>
      </c>
      <c r="F58" s="18">
        <f>E58*(1+G$9)</f>
        <v>101751.8</v>
      </c>
    </row>
    <row r="59" spans="1:7" hidden="1">
      <c r="A59" t="s">
        <v>38</v>
      </c>
      <c r="B59" s="18">
        <f>B58*C$11</f>
        <v>0</v>
      </c>
      <c r="C59" s="18">
        <f>C58*D$11</f>
        <v>0</v>
      </c>
      <c r="D59" s="18">
        <f>D58*E$11</f>
        <v>0</v>
      </c>
      <c r="E59" s="18">
        <f>E58*F$11</f>
        <v>0</v>
      </c>
      <c r="F59" s="18">
        <f>F58*G$11</f>
        <v>0</v>
      </c>
    </row>
    <row r="60" spans="1:7" hidden="1">
      <c r="B60" s="20">
        <f>B59/B58</f>
        <v>0</v>
      </c>
      <c r="C60" s="20">
        <f>C59/C58</f>
        <v>0</v>
      </c>
      <c r="D60" s="20">
        <f>D59/D58</f>
        <v>0</v>
      </c>
      <c r="E60" s="20">
        <f>E59/E58</f>
        <v>0</v>
      </c>
      <c r="F60" s="20">
        <f>F59/F58</f>
        <v>0</v>
      </c>
    </row>
    <row r="61" spans="1:7" hidden="1">
      <c r="A61" t="s">
        <v>39</v>
      </c>
      <c r="B61" s="39">
        <f t="shared" ref="B61:E61" si="2">B59-(C$12*B59)</f>
        <v>0</v>
      </c>
      <c r="C61" s="39">
        <f t="shared" si="2"/>
        <v>0</v>
      </c>
      <c r="D61" s="39">
        <f t="shared" si="2"/>
        <v>0</v>
      </c>
      <c r="E61" s="39">
        <f t="shared" si="2"/>
        <v>0</v>
      </c>
      <c r="F61" s="39">
        <f>F59-(G$12*F59)</f>
        <v>0</v>
      </c>
    </row>
    <row r="62" spans="1:7" hidden="1">
      <c r="A62" t="s">
        <v>42</v>
      </c>
      <c r="B62" s="18">
        <f ca="1">B61*EXP(-$B$4*B$42/365.25)</f>
        <v>0</v>
      </c>
      <c r="C62" s="18">
        <f ca="1">C61*EXP(-$B$4*C$42/365.25)</f>
        <v>0</v>
      </c>
      <c r="D62" s="18">
        <f ca="1">D61*EXP(-$B$4*D$42/365.25)</f>
        <v>0</v>
      </c>
      <c r="E62" s="18">
        <f ca="1">E61*EXP(-$B$4*E$42/365.25)</f>
        <v>0</v>
      </c>
      <c r="F62" s="18">
        <f ca="1">F61*EXP(-$B$4*F$42/365.25)</f>
        <v>0</v>
      </c>
      <c r="G62" s="18">
        <f ca="1">SUM(B62:F62)</f>
        <v>0</v>
      </c>
    </row>
    <row r="63" spans="1:7" hidden="1">
      <c r="A63" t="s">
        <v>41</v>
      </c>
      <c r="F63" s="39">
        <f>((1+$D$18)/($B$4-$D$18)*(1-(((1+$D$18)/(1+$B$4))^$B$16)))</f>
        <v>4.358120835946381</v>
      </c>
      <c r="G63" s="18">
        <f ca="1">F63*F62</f>
        <v>0</v>
      </c>
    </row>
    <row r="64" spans="1:7" hidden="1">
      <c r="A64" t="s">
        <v>40</v>
      </c>
      <c r="B64" s="39"/>
      <c r="F64" s="18">
        <f>F61*EXP($C$18*$B$16)</f>
        <v>0</v>
      </c>
    </row>
    <row r="65" spans="1:7" hidden="1">
      <c r="A65" t="s">
        <v>43</v>
      </c>
      <c r="F65" s="18">
        <f ca="1">F64*EXP(-$B$4*B$48/365.25)</f>
        <v>0</v>
      </c>
      <c r="G65" s="43">
        <f ca="1">F65*B$51</f>
        <v>0</v>
      </c>
    </row>
    <row r="66" spans="1:7" hidden="1">
      <c r="A66" t="s">
        <v>44</v>
      </c>
      <c r="G66" s="18">
        <f ca="1">SUM(G62:G63,G65)</f>
        <v>0</v>
      </c>
    </row>
    <row r="67" spans="1:7" hidden="1">
      <c r="A67" t="s">
        <v>25</v>
      </c>
      <c r="G67" s="44">
        <f ca="1">G66/$G$4</f>
        <v>0</v>
      </c>
    </row>
    <row r="68" spans="1:7" hidden="1">
      <c r="G68" s="39"/>
    </row>
    <row r="69" spans="1:7" hidden="1">
      <c r="A69" s="42" t="s">
        <v>45</v>
      </c>
    </row>
    <row r="70" spans="1:7" hidden="1">
      <c r="A70" t="s">
        <v>37</v>
      </c>
      <c r="B70" s="18">
        <f>$G$3*(1+C$9)</f>
        <v>101751.8</v>
      </c>
      <c r="C70" s="18">
        <f>B70*(1+D$9)</f>
        <v>101751.8</v>
      </c>
      <c r="D70" s="18">
        <f>C70*(1+E$9)</f>
        <v>101751.8</v>
      </c>
      <c r="E70" s="18">
        <f>D70*(1+F$9)</f>
        <v>101751.8</v>
      </c>
      <c r="F70" s="18">
        <f>E70*(1+G$9)</f>
        <v>101751.8</v>
      </c>
    </row>
    <row r="71" spans="1:7" hidden="1">
      <c r="A71" t="s">
        <v>38</v>
      </c>
      <c r="B71" s="18">
        <f>B70*C$11</f>
        <v>0</v>
      </c>
      <c r="C71" s="18">
        <f>C70*D$11</f>
        <v>0</v>
      </c>
      <c r="D71" s="18">
        <f>D70*E$11</f>
        <v>0</v>
      </c>
      <c r="E71" s="18">
        <f>E70*F$11</f>
        <v>0</v>
      </c>
      <c r="F71" s="18">
        <f>F70*G$11</f>
        <v>0</v>
      </c>
    </row>
    <row r="72" spans="1:7" hidden="1">
      <c r="A72" t="s">
        <v>39</v>
      </c>
      <c r="B72" s="39">
        <f t="shared" ref="B72:E72" si="3">B71-(C$12*B71)</f>
        <v>0</v>
      </c>
      <c r="C72" s="39">
        <f t="shared" si="3"/>
        <v>0</v>
      </c>
      <c r="D72" s="39">
        <f t="shared" si="3"/>
        <v>0</v>
      </c>
      <c r="E72" s="39">
        <f t="shared" si="3"/>
        <v>0</v>
      </c>
      <c r="F72" s="39">
        <f>F71-(G$12*F71)</f>
        <v>0</v>
      </c>
    </row>
    <row r="73" spans="1:7" hidden="1">
      <c r="A73" t="s">
        <v>42</v>
      </c>
      <c r="B73" s="18">
        <f ca="1">B72*EXP(-$B$4*B$42/365.25)</f>
        <v>0</v>
      </c>
      <c r="C73" s="18">
        <f ca="1">C72*EXP(-$B$4*C$42/365.25)</f>
        <v>0</v>
      </c>
      <c r="D73" s="18">
        <f ca="1">D72*EXP(-$B$4*D$42/365.25)</f>
        <v>0</v>
      </c>
      <c r="E73" s="18">
        <f ca="1">E72*EXP(-$B$4*E$42/365.25)</f>
        <v>0</v>
      </c>
      <c r="F73" s="18">
        <f ca="1">F72*EXP(-$B$4*F$42/365.25)</f>
        <v>0</v>
      </c>
      <c r="G73" s="18">
        <f ca="1">SUM(B73:F73)</f>
        <v>0</v>
      </c>
    </row>
    <row r="74" spans="1:7" hidden="1">
      <c r="A74" t="s">
        <v>41</v>
      </c>
      <c r="F74" s="39">
        <f>((1+$D$17)/($B$4-$D$17)*(1-(((1+$D$17)/(1+$B$4))^$B$16)))</f>
        <v>4.358120835946381</v>
      </c>
      <c r="G74" s="18">
        <f ca="1">F74*F73</f>
        <v>0</v>
      </c>
    </row>
    <row r="75" spans="1:7" hidden="1">
      <c r="A75" t="s">
        <v>40</v>
      </c>
      <c r="B75" s="39"/>
      <c r="F75" s="18">
        <f>F72*EXP($C$17*$B$16)</f>
        <v>0</v>
      </c>
    </row>
    <row r="76" spans="1:7" hidden="1">
      <c r="A76" t="s">
        <v>43</v>
      </c>
      <c r="F76" s="18">
        <f ca="1">F75*EXP(-$B$4*B$48/365.25)</f>
        <v>0</v>
      </c>
      <c r="G76" s="43">
        <f ca="1">F76*B$51</f>
        <v>0</v>
      </c>
    </row>
    <row r="77" spans="1:7" hidden="1">
      <c r="A77" t="s">
        <v>44</v>
      </c>
      <c r="G77" s="18">
        <f ca="1">SUM(G73:G74,G76)</f>
        <v>0</v>
      </c>
    </row>
    <row r="78" spans="1:7" hidden="1">
      <c r="A78" t="s">
        <v>25</v>
      </c>
      <c r="G78" s="44">
        <f ca="1">G77/$G$4</f>
        <v>0</v>
      </c>
    </row>
    <row r="79" spans="1:7" hidden="1"/>
    <row r="80" spans="1:7" hidden="1">
      <c r="A80" s="42" t="s">
        <v>46</v>
      </c>
    </row>
    <row r="81" spans="1:7" hidden="1">
      <c r="A81" t="s">
        <v>37</v>
      </c>
      <c r="B81" s="18">
        <f>$G$3*(1+C$9)</f>
        <v>101751.8</v>
      </c>
      <c r="C81" s="18">
        <f>B81*(1+D$9)</f>
        <v>101751.8</v>
      </c>
      <c r="D81" s="18">
        <f>C81*(1+E$9)</f>
        <v>101751.8</v>
      </c>
      <c r="E81" s="18">
        <f>D81*(1+F$9)</f>
        <v>101751.8</v>
      </c>
      <c r="F81" s="18">
        <f>E81*(1+G$9)</f>
        <v>101751.8</v>
      </c>
    </row>
    <row r="82" spans="1:7" hidden="1">
      <c r="A82" t="s">
        <v>38</v>
      </c>
      <c r="B82" s="18">
        <f>B81*C$10</f>
        <v>0</v>
      </c>
      <c r="C82" s="18">
        <f>C81*D$10</f>
        <v>0</v>
      </c>
      <c r="D82" s="18">
        <f>D81*E$10</f>
        <v>0</v>
      </c>
      <c r="E82" s="18">
        <f>E81*F$10</f>
        <v>0</v>
      </c>
      <c r="F82" s="18">
        <f>F81*G$10</f>
        <v>0</v>
      </c>
    </row>
    <row r="83" spans="1:7" hidden="1">
      <c r="A83" t="s">
        <v>39</v>
      </c>
      <c r="B83" s="39">
        <f>B82-(C$12*B82)</f>
        <v>0</v>
      </c>
      <c r="C83" s="39">
        <f t="shared" ref="C83:F83" si="4">C82-(D$12*C82)</f>
        <v>0</v>
      </c>
      <c r="D83" s="39">
        <f t="shared" si="4"/>
        <v>0</v>
      </c>
      <c r="E83" s="39">
        <f t="shared" si="4"/>
        <v>0</v>
      </c>
      <c r="F83" s="39">
        <f t="shared" si="4"/>
        <v>0</v>
      </c>
    </row>
    <row r="84" spans="1:7" hidden="1">
      <c r="A84" t="s">
        <v>42</v>
      </c>
      <c r="B84" s="18">
        <f ca="1">B83*EXP(-$B$4*B$42/365.25)</f>
        <v>0</v>
      </c>
      <c r="C84" s="18">
        <f ca="1">C83*EXP(-$B$4*C$42/365.25)</f>
        <v>0</v>
      </c>
      <c r="D84" s="18">
        <f ca="1">D83*EXP(-$B$4*D$42/365.25)</f>
        <v>0</v>
      </c>
      <c r="E84" s="18">
        <f ca="1">E83*EXP(-$B$4*E$42/365.25)</f>
        <v>0</v>
      </c>
      <c r="F84" s="18">
        <f ca="1">F83*EXP(-$B$4*F$42/365.25)</f>
        <v>0</v>
      </c>
      <c r="G84" s="18">
        <f ca="1">SUM(B84:F84)</f>
        <v>0</v>
      </c>
    </row>
    <row r="85" spans="1:7" hidden="1">
      <c r="A85" t="s">
        <v>41</v>
      </c>
      <c r="F85" s="40">
        <f>((1+$D$17)/($B$4-$D$17)*(1-(((1+$D$17)/(1+$B$4))^$B$16)))</f>
        <v>4.358120835946381</v>
      </c>
      <c r="G85" s="18">
        <f ca="1">F85*F84</f>
        <v>0</v>
      </c>
    </row>
    <row r="86" spans="1:7" hidden="1">
      <c r="A86" t="s">
        <v>40</v>
      </c>
      <c r="B86" s="39"/>
      <c r="F86" s="18">
        <f>F83*EXP($C$18*$B$16)</f>
        <v>0</v>
      </c>
    </row>
    <row r="87" spans="1:7" hidden="1">
      <c r="A87" t="s">
        <v>43</v>
      </c>
      <c r="F87" s="18">
        <f ca="1">F86*EXP(-$B$4*B$48/365.25)</f>
        <v>0</v>
      </c>
      <c r="G87" s="43">
        <f ca="1">F87*B$51</f>
        <v>0</v>
      </c>
    </row>
    <row r="88" spans="1:7" hidden="1">
      <c r="A88" t="s">
        <v>44</v>
      </c>
      <c r="G88" s="18">
        <f ca="1">SUM(G84:G85,G87)</f>
        <v>0</v>
      </c>
    </row>
    <row r="89" spans="1:7" hidden="1">
      <c r="A89" t="s">
        <v>25</v>
      </c>
      <c r="G89" s="44">
        <f ca="1">G88/$G$4</f>
        <v>0</v>
      </c>
    </row>
    <row r="90" spans="1:7" hidden="1"/>
    <row r="91" spans="1:7" hidden="1">
      <c r="A91" s="42" t="s">
        <v>47</v>
      </c>
    </row>
    <row r="92" spans="1:7" hidden="1">
      <c r="A92" t="s">
        <v>37</v>
      </c>
      <c r="B92" s="18">
        <f>$G$3*(1+C$9)</f>
        <v>101751.8</v>
      </c>
      <c r="C92" s="18">
        <f>B92*(1+D$9)</f>
        <v>101751.8</v>
      </c>
      <c r="D92" s="18">
        <f>C92*(1+E$9)</f>
        <v>101751.8</v>
      </c>
      <c r="E92" s="18">
        <f>D92*(1+F$9)</f>
        <v>101751.8</v>
      </c>
      <c r="F92" s="18">
        <f>E92*(1+G$9)</f>
        <v>101751.8</v>
      </c>
    </row>
    <row r="93" spans="1:7" hidden="1">
      <c r="A93" t="s">
        <v>38</v>
      </c>
      <c r="B93" s="18">
        <f>B92*C$10</f>
        <v>0</v>
      </c>
      <c r="C93" s="18">
        <f>C92*D$10</f>
        <v>0</v>
      </c>
      <c r="D93" s="18">
        <f>D92*E$10</f>
        <v>0</v>
      </c>
      <c r="E93" s="18">
        <f>E92*F$10</f>
        <v>0</v>
      </c>
      <c r="F93" s="18">
        <f>F92*G$10</f>
        <v>0</v>
      </c>
    </row>
    <row r="94" spans="1:7" hidden="1">
      <c r="A94" t="s">
        <v>39</v>
      </c>
      <c r="B94" s="39">
        <f>B93-(C$12*B93)</f>
        <v>0</v>
      </c>
      <c r="C94" s="39">
        <f t="shared" ref="C94" si="5">C93-(D$12*C93)</f>
        <v>0</v>
      </c>
      <c r="D94" s="39">
        <f t="shared" ref="D94" si="6">D93-(E$12*D93)</f>
        <v>0</v>
      </c>
      <c r="E94" s="39">
        <f t="shared" ref="E94" si="7">E93-(F$12*E93)</f>
        <v>0</v>
      </c>
      <c r="F94" s="39">
        <f t="shared" ref="F94" si="8">F93-(G$12*F93)</f>
        <v>0</v>
      </c>
    </row>
    <row r="95" spans="1:7" hidden="1">
      <c r="A95" t="s">
        <v>42</v>
      </c>
      <c r="B95" s="18">
        <f ca="1">B94*EXP(-$B$4*B$42/365.25)</f>
        <v>0</v>
      </c>
      <c r="C95" s="18">
        <f ca="1">C94*EXP(-$B$4*C$42/365.25)</f>
        <v>0</v>
      </c>
      <c r="D95" s="18">
        <f ca="1">D94*EXP(-$B$4*D$42/365.25)</f>
        <v>0</v>
      </c>
      <c r="E95" s="18">
        <f ca="1">E94*EXP(-$B$4*E$42/365.25)</f>
        <v>0</v>
      </c>
      <c r="F95" s="18">
        <f ca="1">F94*EXP(-$B$4*F$42/365.25)</f>
        <v>0</v>
      </c>
      <c r="G95" s="18">
        <f ca="1">SUM(B95:F95)</f>
        <v>0</v>
      </c>
    </row>
    <row r="96" spans="1:7" hidden="1">
      <c r="A96" t="s">
        <v>41</v>
      </c>
      <c r="F96" s="39">
        <f>((1+$D$17)/($B$4-$D$17)*(1-(((1+$D$17)/(1+$B$4))^$B$16)))</f>
        <v>4.358120835946381</v>
      </c>
      <c r="G96" s="18">
        <f ca="1">F96*F95</f>
        <v>0</v>
      </c>
    </row>
    <row r="97" spans="1:7" hidden="1">
      <c r="A97" t="s">
        <v>40</v>
      </c>
      <c r="B97" s="39"/>
      <c r="F97" s="18">
        <f>F94*EXP($C$17*$B$16)</f>
        <v>0</v>
      </c>
    </row>
    <row r="98" spans="1:7" hidden="1">
      <c r="A98" t="s">
        <v>43</v>
      </c>
      <c r="F98" s="18">
        <f ca="1">F97*EXP(-$B$4*B$48/365.25)</f>
        <v>0</v>
      </c>
      <c r="G98" s="43">
        <f ca="1">F98*B$51</f>
        <v>0</v>
      </c>
    </row>
    <row r="99" spans="1:7" hidden="1">
      <c r="A99" t="s">
        <v>44</v>
      </c>
      <c r="G99" s="18">
        <f ca="1">SUM(G95:G96,G98)</f>
        <v>0</v>
      </c>
    </row>
    <row r="100" spans="1:7" hidden="1">
      <c r="A100" t="s">
        <v>25</v>
      </c>
      <c r="G100" s="44">
        <f ca="1">G99/$G$4</f>
        <v>0</v>
      </c>
    </row>
    <row r="101" spans="1:7" hidden="1"/>
    <row r="102" spans="1:7" hidden="1">
      <c r="A102" s="42" t="s">
        <v>48</v>
      </c>
    </row>
    <row r="103" spans="1:7" hidden="1">
      <c r="A103" t="s">
        <v>37</v>
      </c>
      <c r="B103" s="18">
        <f>$G$3*(1+C$8)</f>
        <v>101751.8</v>
      </c>
      <c r="C103" s="18">
        <f>B103*(1+D$8)</f>
        <v>101751.8</v>
      </c>
      <c r="D103" s="18">
        <f>C103*(1+E$8)</f>
        <v>101751.8</v>
      </c>
      <c r="E103" s="18">
        <f>D103*(1+F$8)</f>
        <v>101751.8</v>
      </c>
      <c r="F103" s="18">
        <f>E103*(1+G$8)</f>
        <v>101751.8</v>
      </c>
    </row>
    <row r="104" spans="1:7" hidden="1">
      <c r="A104" t="s">
        <v>38</v>
      </c>
      <c r="B104" s="18">
        <f>B103*C$11</f>
        <v>0</v>
      </c>
      <c r="C104" s="18">
        <f>C103*D$11</f>
        <v>0</v>
      </c>
      <c r="D104" s="18">
        <f>D103*E$11</f>
        <v>0</v>
      </c>
      <c r="E104" s="18">
        <f>E103*F$11</f>
        <v>0</v>
      </c>
      <c r="F104" s="18">
        <f>F103*G$11</f>
        <v>0</v>
      </c>
    </row>
    <row r="105" spans="1:7" hidden="1">
      <c r="A105" t="s">
        <v>39</v>
      </c>
      <c r="B105" s="39">
        <f>B104-(C$12*B104)</f>
        <v>0</v>
      </c>
      <c r="C105" s="39">
        <f t="shared" ref="C105" si="9">C104-(D$12*C104)</f>
        <v>0</v>
      </c>
      <c r="D105" s="39">
        <f t="shared" ref="D105" si="10">D104-(E$12*D104)</f>
        <v>0</v>
      </c>
      <c r="E105" s="39">
        <f t="shared" ref="E105" si="11">E104-(F$12*E104)</f>
        <v>0</v>
      </c>
      <c r="F105" s="39">
        <f t="shared" ref="F105" si="12">F104-(G$12*F104)</f>
        <v>0</v>
      </c>
    </row>
    <row r="106" spans="1:7" hidden="1">
      <c r="A106" t="s">
        <v>42</v>
      </c>
      <c r="B106" s="18">
        <f ca="1">B105*EXP(-$B$4*B$42/365.25)</f>
        <v>0</v>
      </c>
      <c r="C106" s="18">
        <f ca="1">C105*EXP(-$B$4*C$42/365.25)</f>
        <v>0</v>
      </c>
      <c r="D106" s="18">
        <f ca="1">D105*EXP(-$B$4*D$42/365.25)</f>
        <v>0</v>
      </c>
      <c r="E106" s="18">
        <f ca="1">E105*EXP(-$B$4*E$42/365.25)</f>
        <v>0</v>
      </c>
      <c r="F106" s="18">
        <f ca="1">F105*EXP(-$B$4*F$42/365.25)</f>
        <v>0</v>
      </c>
      <c r="G106" s="18">
        <f ca="1">SUM(B106:F106)</f>
        <v>0</v>
      </c>
    </row>
    <row r="107" spans="1:7" hidden="1">
      <c r="A107" t="s">
        <v>41</v>
      </c>
      <c r="F107" s="39">
        <f>((1+$D$18)/($B$4-$D$18)*(1-(((1+$D$18)/(1+$B$4))^$B$16)))</f>
        <v>4.358120835946381</v>
      </c>
      <c r="G107" s="18">
        <f ca="1">F107*F106</f>
        <v>0</v>
      </c>
    </row>
    <row r="108" spans="1:7" hidden="1">
      <c r="A108" t="s">
        <v>40</v>
      </c>
      <c r="B108" s="39"/>
      <c r="F108" s="18">
        <f>F105*EXP($C$18*$B$16)</f>
        <v>0</v>
      </c>
    </row>
    <row r="109" spans="1:7" hidden="1">
      <c r="A109" t="s">
        <v>43</v>
      </c>
      <c r="F109" s="18">
        <f ca="1">F108*EXP(-$B$4*B$48/365.25)</f>
        <v>0</v>
      </c>
      <c r="G109" s="43">
        <f ca="1">F109*B$51</f>
        <v>0</v>
      </c>
    </row>
    <row r="110" spans="1:7" hidden="1">
      <c r="A110" t="s">
        <v>44</v>
      </c>
      <c r="G110" s="18">
        <f ca="1">SUM(G106:G107,G109)</f>
        <v>0</v>
      </c>
    </row>
    <row r="111" spans="1:7" hidden="1">
      <c r="A111" t="s">
        <v>25</v>
      </c>
      <c r="G111" s="44">
        <f ca="1">G110/$G$4</f>
        <v>0</v>
      </c>
    </row>
    <row r="112" spans="1:7" hidden="1"/>
    <row r="113" spans="1:7" hidden="1">
      <c r="A113" s="42" t="s">
        <v>49</v>
      </c>
    </row>
    <row r="114" spans="1:7" hidden="1">
      <c r="A114" t="s">
        <v>37</v>
      </c>
      <c r="B114" s="18">
        <f>$G$3*(1+C$8)</f>
        <v>101751.8</v>
      </c>
      <c r="C114" s="18">
        <f>B114*(1+D$8)</f>
        <v>101751.8</v>
      </c>
      <c r="D114" s="18">
        <f>C114*(1+E$8)</f>
        <v>101751.8</v>
      </c>
      <c r="E114" s="18">
        <f>D114*(1+F$8)</f>
        <v>101751.8</v>
      </c>
      <c r="F114" s="18">
        <f>E114*(1+G$8)</f>
        <v>101751.8</v>
      </c>
    </row>
    <row r="115" spans="1:7" hidden="1">
      <c r="A115" t="s">
        <v>38</v>
      </c>
      <c r="B115" s="18">
        <f>B114*C$11</f>
        <v>0</v>
      </c>
      <c r="C115" s="18">
        <f>C114*D$11</f>
        <v>0</v>
      </c>
      <c r="D115" s="18">
        <f>D114*E$11</f>
        <v>0</v>
      </c>
      <c r="E115" s="18">
        <f>E114*F$11</f>
        <v>0</v>
      </c>
      <c r="F115" s="18">
        <f>F114*G$11</f>
        <v>0</v>
      </c>
    </row>
    <row r="116" spans="1:7" hidden="1">
      <c r="A116" t="s">
        <v>39</v>
      </c>
      <c r="B116" s="39">
        <f>B115-(C$12*B115)</f>
        <v>0</v>
      </c>
      <c r="C116" s="39">
        <f t="shared" ref="C116" si="13">C115-(D$12*C115)</f>
        <v>0</v>
      </c>
      <c r="D116" s="39">
        <f t="shared" ref="D116" si="14">D115-(E$12*D115)</f>
        <v>0</v>
      </c>
      <c r="E116" s="39">
        <f t="shared" ref="E116" si="15">E115-(F$12*E115)</f>
        <v>0</v>
      </c>
      <c r="F116" s="39">
        <f t="shared" ref="F116" si="16">F115-(G$12*F115)</f>
        <v>0</v>
      </c>
    </row>
    <row r="117" spans="1:7" hidden="1">
      <c r="A117" t="s">
        <v>42</v>
      </c>
      <c r="B117" s="18">
        <f ca="1">B116*EXP(-$B$4*B$42/365.25)</f>
        <v>0</v>
      </c>
      <c r="C117" s="18">
        <f ca="1">C116*EXP(-$B$4*C$42/365.25)</f>
        <v>0</v>
      </c>
      <c r="D117" s="18">
        <f ca="1">D116*EXP(-$B$4*D$42/365.25)</f>
        <v>0</v>
      </c>
      <c r="E117" s="18">
        <f ca="1">E116*EXP(-$B$4*E$42/365.25)</f>
        <v>0</v>
      </c>
      <c r="F117" s="18">
        <f ca="1">F116*EXP(-$B$4*F$42/365.25)</f>
        <v>0</v>
      </c>
      <c r="G117" s="18">
        <f ca="1">SUM(B117:F117)</f>
        <v>0</v>
      </c>
    </row>
    <row r="118" spans="1:7" hidden="1">
      <c r="A118" t="s">
        <v>41</v>
      </c>
      <c r="F118" s="39">
        <f>((1+$D$18)/($B$4-$D$18)*(1-(((1+$D$18)/(1+$B$4))^$B$16)))</f>
        <v>4.358120835946381</v>
      </c>
      <c r="G118" s="18">
        <f ca="1">F118*F117</f>
        <v>0</v>
      </c>
    </row>
    <row r="119" spans="1:7" hidden="1">
      <c r="A119" t="s">
        <v>40</v>
      </c>
      <c r="B119" s="39"/>
      <c r="F119" s="18">
        <f>F116*EXP($C$17*$B$16)</f>
        <v>0</v>
      </c>
    </row>
    <row r="120" spans="1:7" hidden="1">
      <c r="A120" t="s">
        <v>43</v>
      </c>
      <c r="F120" s="18">
        <f ca="1">F119*EXP(-$B$4*B$48/365.25)</f>
        <v>0</v>
      </c>
      <c r="G120" s="43">
        <f ca="1">F120*B$51</f>
        <v>0</v>
      </c>
    </row>
    <row r="121" spans="1:7" hidden="1">
      <c r="A121" t="s">
        <v>44</v>
      </c>
      <c r="G121" s="18">
        <f ca="1">SUM(G117:G118,G120)</f>
        <v>0</v>
      </c>
    </row>
    <row r="122" spans="1:7" hidden="1">
      <c r="A122" t="s">
        <v>25</v>
      </c>
      <c r="G122" s="44">
        <f ca="1">G121/$G$4</f>
        <v>0</v>
      </c>
    </row>
    <row r="123" spans="1:7" hidden="1"/>
    <row r="124" spans="1:7" hidden="1">
      <c r="A124" s="42" t="s">
        <v>50</v>
      </c>
    </row>
    <row r="125" spans="1:7" hidden="1">
      <c r="A125" t="s">
        <v>37</v>
      </c>
      <c r="B125" s="18">
        <f>$G$3*(1+C$8)</f>
        <v>101751.8</v>
      </c>
      <c r="C125" s="18">
        <f>B125*(1+D$8)</f>
        <v>101751.8</v>
      </c>
      <c r="D125" s="18">
        <f>C125*(1+E$8)</f>
        <v>101751.8</v>
      </c>
      <c r="E125" s="18">
        <f>D125*(1+F$8)</f>
        <v>101751.8</v>
      </c>
      <c r="F125" s="18">
        <f>E125*(1+G$8)</f>
        <v>101751.8</v>
      </c>
    </row>
    <row r="126" spans="1:7" hidden="1">
      <c r="A126" t="s">
        <v>38</v>
      </c>
      <c r="B126" s="18">
        <f>B125*C$10</f>
        <v>0</v>
      </c>
      <c r="C126" s="18">
        <f>C125*D$10</f>
        <v>0</v>
      </c>
      <c r="D126" s="18">
        <f>D125*E$10</f>
        <v>0</v>
      </c>
      <c r="E126" s="18">
        <f>E125*F$10</f>
        <v>0</v>
      </c>
      <c r="F126" s="18">
        <f>F125*G$10</f>
        <v>0</v>
      </c>
    </row>
    <row r="127" spans="1:7" hidden="1">
      <c r="A127" t="s">
        <v>39</v>
      </c>
      <c r="B127" s="39">
        <f>B126-(C$12*B126)</f>
        <v>0</v>
      </c>
      <c r="C127" s="39">
        <f t="shared" ref="C127" si="17">C126-(D$12*C126)</f>
        <v>0</v>
      </c>
      <c r="D127" s="39">
        <f t="shared" ref="D127" si="18">D126-(E$12*D126)</f>
        <v>0</v>
      </c>
      <c r="E127" s="39">
        <f t="shared" ref="E127" si="19">E126-(F$12*E126)</f>
        <v>0</v>
      </c>
      <c r="F127" s="39">
        <f t="shared" ref="F127" si="20">F126-(G$12*F126)</f>
        <v>0</v>
      </c>
    </row>
    <row r="128" spans="1:7" hidden="1">
      <c r="A128" t="s">
        <v>42</v>
      </c>
      <c r="B128" s="18">
        <f ca="1">B127*EXP(-$B$4*B$42/365.25)</f>
        <v>0</v>
      </c>
      <c r="C128" s="18">
        <f ca="1">C127*EXP(-$B$4*C$42/365.25)</f>
        <v>0</v>
      </c>
      <c r="D128" s="18">
        <f ca="1">D127*EXP(-$B$4*D$42/365.25)</f>
        <v>0</v>
      </c>
      <c r="E128" s="18">
        <f ca="1">E127*EXP(-$B$4*E$42/365.25)</f>
        <v>0</v>
      </c>
      <c r="F128" s="18">
        <f ca="1">F127*EXP(-$B$4*F$42/365.25)</f>
        <v>0</v>
      </c>
      <c r="G128" s="18">
        <f ca="1">SUM(B128:F128)</f>
        <v>0</v>
      </c>
    </row>
    <row r="129" spans="1:11" hidden="1">
      <c r="A129" t="s">
        <v>41</v>
      </c>
      <c r="F129" s="39">
        <f>((1+$D$18)/($B$4-$D$18)*(1-(((1+$D$18)/(1+$B$4))^$B$16)))</f>
        <v>4.358120835946381</v>
      </c>
      <c r="G129" s="18">
        <f ca="1">F129*F128</f>
        <v>0</v>
      </c>
    </row>
    <row r="130" spans="1:11" hidden="1">
      <c r="A130" t="s">
        <v>40</v>
      </c>
      <c r="B130" s="39"/>
      <c r="F130" s="18">
        <f>F127*EXP($C$18*$B$16)</f>
        <v>0</v>
      </c>
    </row>
    <row r="131" spans="1:11" hidden="1">
      <c r="A131" t="s">
        <v>43</v>
      </c>
      <c r="F131" s="18">
        <f ca="1">F130*EXP(-$B$4*B$48/365.25)</f>
        <v>0</v>
      </c>
      <c r="G131" s="43">
        <f ca="1">F131*B$51</f>
        <v>0</v>
      </c>
    </row>
    <row r="132" spans="1:11" hidden="1">
      <c r="A132" t="s">
        <v>44</v>
      </c>
      <c r="G132" s="18">
        <f ca="1">SUM(G128:G129,G131)</f>
        <v>0</v>
      </c>
    </row>
    <row r="133" spans="1:11" hidden="1">
      <c r="A133" t="s">
        <v>25</v>
      </c>
      <c r="G133" s="44">
        <f ca="1">G132/$G$4</f>
        <v>0</v>
      </c>
    </row>
    <row r="134" spans="1:11" hidden="1"/>
    <row r="135" spans="1:11" hidden="1">
      <c r="A135" s="42" t="s">
        <v>49</v>
      </c>
    </row>
    <row r="136" spans="1:11" hidden="1">
      <c r="A136" t="s">
        <v>37</v>
      </c>
      <c r="B136" s="18">
        <f>$G$3*(1+C$8)</f>
        <v>101751.8</v>
      </c>
      <c r="C136" s="18">
        <f>B136*(1+D$8)</f>
        <v>101751.8</v>
      </c>
      <c r="D136" s="18">
        <f>C136*(1+E$8)</f>
        <v>101751.8</v>
      </c>
      <c r="E136" s="18">
        <f>D136*(1+F$8)</f>
        <v>101751.8</v>
      </c>
      <c r="F136" s="18">
        <f>E136*(1+G$8)</f>
        <v>101751.8</v>
      </c>
    </row>
    <row r="137" spans="1:11" hidden="1">
      <c r="A137" t="s">
        <v>38</v>
      </c>
      <c r="B137" s="18">
        <f>B136*C$10</f>
        <v>0</v>
      </c>
      <c r="C137" s="18">
        <f>C136*D$10</f>
        <v>0</v>
      </c>
      <c r="D137" s="18">
        <f>D136*E$10</f>
        <v>0</v>
      </c>
      <c r="E137" s="18">
        <f>E136*F$10</f>
        <v>0</v>
      </c>
      <c r="F137" s="18">
        <f>F136*G$10</f>
        <v>0</v>
      </c>
    </row>
    <row r="138" spans="1:11" hidden="1">
      <c r="A138" t="s">
        <v>39</v>
      </c>
      <c r="B138" s="39">
        <f>B137-(C$12*B137)</f>
        <v>0</v>
      </c>
      <c r="C138" s="39">
        <f t="shared" ref="C138" si="21">C137-(D$12*C137)</f>
        <v>0</v>
      </c>
      <c r="D138" s="39">
        <f t="shared" ref="D138" si="22">D137-(E$12*D137)</f>
        <v>0</v>
      </c>
      <c r="E138" s="39">
        <f t="shared" ref="E138" si="23">E137-(F$12*E137)</f>
        <v>0</v>
      </c>
      <c r="F138" s="39">
        <f t="shared" ref="F138" si="24">F137-(G$12*F137)</f>
        <v>0</v>
      </c>
    </row>
    <row r="139" spans="1:11" hidden="1">
      <c r="A139" t="s">
        <v>42</v>
      </c>
      <c r="B139" s="18">
        <f ca="1">B138*EXP(-$B$4*B$42/365.25)</f>
        <v>0</v>
      </c>
      <c r="C139" s="18">
        <f ca="1">C138*EXP(-$B$4*C$42/365.25)</f>
        <v>0</v>
      </c>
      <c r="D139" s="18">
        <f ca="1">D138*EXP(-$B$4*D$42/365.25)</f>
        <v>0</v>
      </c>
      <c r="E139" s="18">
        <f ca="1">E138*EXP(-$B$4*E$42/365.25)</f>
        <v>0</v>
      </c>
      <c r="F139" s="18">
        <f ca="1">F138*EXP(-$B$4*F$42/365.25)</f>
        <v>0</v>
      </c>
      <c r="G139" s="18">
        <f ca="1">SUM(B139:F139)</f>
        <v>0</v>
      </c>
      <c r="H139" s="18"/>
      <c r="I139" s="18"/>
      <c r="J139" s="18"/>
      <c r="K139" s="18"/>
    </row>
    <row r="140" spans="1:11" hidden="1">
      <c r="A140" t="s">
        <v>41</v>
      </c>
      <c r="F140" s="39">
        <f>((1+$D$18)/($B$4-$D$18)*(1-(((1+$D$18)/(1+$B$4))^$B$16)))</f>
        <v>4.358120835946381</v>
      </c>
      <c r="G140" s="18">
        <f ca="1">F140*F139</f>
        <v>0</v>
      </c>
    </row>
    <row r="141" spans="1:11" hidden="1">
      <c r="A141" t="s">
        <v>40</v>
      </c>
      <c r="B141" s="39"/>
      <c r="F141" s="18">
        <f>F138*EXP($C$17*$B$16)</f>
        <v>0</v>
      </c>
    </row>
    <row r="142" spans="1:11" hidden="1">
      <c r="A142" t="s">
        <v>43</v>
      </c>
      <c r="F142" s="18">
        <f ca="1">F141*EXP(-$B$4*B$48/365.25)</f>
        <v>0</v>
      </c>
      <c r="G142" s="43">
        <f ca="1">F142*B$51</f>
        <v>0</v>
      </c>
    </row>
    <row r="143" spans="1:11" hidden="1">
      <c r="A143" t="s">
        <v>44</v>
      </c>
      <c r="G143" s="18">
        <f ca="1">SUM(G139:G140,G142)</f>
        <v>0</v>
      </c>
    </row>
    <row r="144" spans="1:11" hidden="1">
      <c r="A144" t="s">
        <v>25</v>
      </c>
      <c r="G144" s="44">
        <f ca="1">G143/$G$4</f>
        <v>0</v>
      </c>
    </row>
    <row r="145" spans="11:11">
      <c r="K145" s="106"/>
    </row>
  </sheetData>
  <mergeCells count="20">
    <mergeCell ref="I12:L12"/>
    <mergeCell ref="I20:L20"/>
    <mergeCell ref="A41:F41"/>
    <mergeCell ref="A17:A18"/>
    <mergeCell ref="E15:G15"/>
    <mergeCell ref="A15:C15"/>
    <mergeCell ref="A1:G1"/>
    <mergeCell ref="A10:A11"/>
    <mergeCell ref="A8:A9"/>
    <mergeCell ref="I6:J6"/>
    <mergeCell ref="I7:J7"/>
    <mergeCell ref="I8:J8"/>
    <mergeCell ref="I9:J9"/>
    <mergeCell ref="I1:J1"/>
    <mergeCell ref="I2:J2"/>
    <mergeCell ref="I3:J3"/>
    <mergeCell ref="I4:J4"/>
    <mergeCell ref="I5:J5"/>
    <mergeCell ref="A6:G6"/>
    <mergeCell ref="I11:L11"/>
  </mergeCells>
  <dataValidations count="4">
    <dataValidation type="list" allowBlank="1" showInputMessage="1" showErrorMessage="1" sqref="L13">
      <formula1>_options3</formula1>
    </dataValidation>
    <dataValidation type="list" allowBlank="1" showInputMessage="1" showErrorMessage="1" sqref="L14">
      <formula1>_options4</formula1>
    </dataValidation>
    <dataValidation type="list" allowBlank="1" showInputMessage="1" showErrorMessage="1" sqref="L15">
      <formula1>_options5</formula1>
    </dataValidation>
    <dataValidation type="list" allowBlank="1" showInputMessage="1" showErrorMessage="1" sqref="L2:L9">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showGridLines="0" tabSelected="1" zoomScaleNormal="100" workbookViewId="0">
      <selection activeCell="E24" sqref="E24"/>
    </sheetView>
  </sheetViews>
  <sheetFormatPr defaultRowHeight="15"/>
  <cols>
    <col min="1" max="1" width="38.75" bestFit="1" customWidth="1"/>
    <col min="2" max="7" width="11.75" customWidth="1"/>
    <col min="8" max="11" width="10.75" customWidth="1"/>
    <col min="12" max="12" width="11.625" bestFit="1" customWidth="1"/>
  </cols>
  <sheetData>
    <row r="1" spans="1:11" s="9" customFormat="1" ht="15.75" thickBot="1">
      <c r="A1" s="60" t="s">
        <v>129</v>
      </c>
      <c r="B1" s="62">
        <v>-9</v>
      </c>
      <c r="C1" s="62">
        <v>-8</v>
      </c>
      <c r="D1" s="62">
        <v>-7</v>
      </c>
      <c r="E1" s="62">
        <v>-6</v>
      </c>
      <c r="F1" s="62">
        <v>-5</v>
      </c>
      <c r="G1" s="62">
        <v>-4</v>
      </c>
      <c r="H1" s="62">
        <v>-3</v>
      </c>
      <c r="I1" s="62">
        <v>-2</v>
      </c>
      <c r="J1" s="62">
        <v>-1</v>
      </c>
      <c r="K1" s="62">
        <v>0</v>
      </c>
    </row>
    <row r="2" spans="1:11">
      <c r="A2" s="7" t="s">
        <v>130</v>
      </c>
      <c r="B2" s="107">
        <f>DATE(YEAR('Valuation Model'!$B3)+B1,MONTH('Valuation Model'!$B3),DAY('Valuation Model'!$B3))</f>
        <v>39082</v>
      </c>
      <c r="C2" s="107">
        <f>DATE(YEAR('Valuation Model'!$B3)+C1,MONTH('Valuation Model'!$B3),DAY('Valuation Model'!$B3))</f>
        <v>39447</v>
      </c>
      <c r="D2" s="107">
        <f>DATE(YEAR('Valuation Model'!$B3)+D1,MONTH('Valuation Model'!$B3),DAY('Valuation Model'!$B3))</f>
        <v>39813</v>
      </c>
      <c r="E2" s="107">
        <f>DATE(YEAR('Valuation Model'!$B3)+E1,MONTH('Valuation Model'!$B3),DAY('Valuation Model'!$B3))</f>
        <v>40178</v>
      </c>
      <c r="F2" s="107">
        <f>DATE(YEAR('Valuation Model'!$B3)+F1,MONTH('Valuation Model'!$B3),DAY('Valuation Model'!$B3))</f>
        <v>40543</v>
      </c>
      <c r="G2" s="107">
        <f>DATE(YEAR('Valuation Model'!$B3)+G1,MONTH('Valuation Model'!$B3),DAY('Valuation Model'!$B3))</f>
        <v>40908</v>
      </c>
      <c r="H2" s="107">
        <f>DATE(YEAR('Valuation Model'!$B3)+H1,MONTH('Valuation Model'!$B3),DAY('Valuation Model'!$B3))</f>
        <v>41274</v>
      </c>
      <c r="I2" s="107">
        <f>DATE(YEAR('Valuation Model'!$B3)+I1,MONTH('Valuation Model'!$B3),DAY('Valuation Model'!$B3))</f>
        <v>41639</v>
      </c>
      <c r="J2" s="107">
        <f>DATE(YEAR('Valuation Model'!$B3)+J1,MONTH('Valuation Model'!$B3),DAY('Valuation Model'!$B3))</f>
        <v>42004</v>
      </c>
      <c r="K2" s="107">
        <f>DATE(YEAR('Valuation Model'!$B3)+K1,MONTH('Valuation Model'!$B3),DAY('Valuation Model'!$B3))</f>
        <v>42369</v>
      </c>
    </row>
    <row r="3" spans="1:11">
      <c r="A3" s="1" t="s">
        <v>37</v>
      </c>
      <c r="B3" s="108">
        <v>17554</v>
      </c>
      <c r="C3" s="108">
        <v>18273.599999999999</v>
      </c>
      <c r="D3" s="108">
        <v>21978</v>
      </c>
      <c r="E3" s="108">
        <v>24722.3</v>
      </c>
      <c r="F3" s="108">
        <v>44973.2</v>
      </c>
      <c r="G3" s="108">
        <v>46128.3</v>
      </c>
      <c r="H3" s="108">
        <v>93714.3</v>
      </c>
      <c r="I3" s="108">
        <v>104098.8</v>
      </c>
      <c r="J3" s="108">
        <v>100887.1</v>
      </c>
      <c r="K3" s="108">
        <v>101751.8</v>
      </c>
    </row>
    <row r="4" spans="1:11">
      <c r="A4" s="109" t="s">
        <v>131</v>
      </c>
      <c r="B4" s="109"/>
      <c r="C4" s="110">
        <f t="shared" ref="C4:F4" si="0">IFERROR(C3/B3-1,"")</f>
        <v>4.0993505753674331E-2</v>
      </c>
      <c r="D4" s="110">
        <f t="shared" si="0"/>
        <v>0.2027186761229316</v>
      </c>
      <c r="E4" s="110">
        <f t="shared" si="0"/>
        <v>0.12486577486577488</v>
      </c>
      <c r="F4" s="110">
        <f t="shared" si="0"/>
        <v>0.819134951036109</v>
      </c>
      <c r="G4" s="110">
        <f>IFERROR(G3/F3-1,"")</f>
        <v>2.5684185248103342E-2</v>
      </c>
      <c r="H4" s="110">
        <f t="shared" ref="H4:K4" si="1">IFERROR(H3/G3-1,"")</f>
        <v>1.0316009911486006</v>
      </c>
      <c r="I4" s="110">
        <f t="shared" si="1"/>
        <v>0.11081019652283586</v>
      </c>
      <c r="J4" s="110">
        <f t="shared" si="1"/>
        <v>-3.0852420969309846E-2</v>
      </c>
      <c r="K4" s="110">
        <f t="shared" si="1"/>
        <v>8.5709669521671916E-3</v>
      </c>
    </row>
    <row r="5" spans="1:11">
      <c r="A5" s="109" t="s">
        <v>132</v>
      </c>
      <c r="B5" s="109"/>
      <c r="C5" s="109"/>
      <c r="D5" s="109"/>
      <c r="E5" s="110">
        <f>IFERROR(SUM(C3:E3)/SUM(B3:D3)-1,"")</f>
        <v>0.12400701662122704</v>
      </c>
      <c r="F5" s="110">
        <f t="shared" ref="F5:K5" si="2">IFERROR(SUM(D3:F3)/SUM(C3:E3)-1,"")</f>
        <v>0.41092808035226458</v>
      </c>
      <c r="G5" s="110">
        <f t="shared" si="2"/>
        <v>0.26343818006294084</v>
      </c>
      <c r="H5" s="110">
        <f t="shared" si="2"/>
        <v>0.5956634128736924</v>
      </c>
      <c r="I5" s="110">
        <f t="shared" si="2"/>
        <v>0.3199163707864805</v>
      </c>
      <c r="J5" s="110">
        <f t="shared" si="2"/>
        <v>0.22447522232798534</v>
      </c>
      <c r="K5" s="110">
        <f t="shared" si="2"/>
        <v>2.6908251149480256E-2</v>
      </c>
    </row>
    <row r="6" spans="1:11">
      <c r="A6" s="109" t="s">
        <v>133</v>
      </c>
      <c r="B6" s="109"/>
      <c r="C6" s="109"/>
      <c r="D6" s="109"/>
      <c r="E6" s="109"/>
      <c r="F6" s="111"/>
      <c r="G6" s="110">
        <f>IFERROR(SUM(C3:G3)/SUM(B3:F3)-1,"")</f>
        <v>0.22411022336277897</v>
      </c>
      <c r="H6" s="110">
        <f t="shared" ref="H6:K6" si="3">IFERROR(SUM(D3:H3)/SUM(C3:G3)-1,"")</f>
        <v>0.48336060647610046</v>
      </c>
      <c r="I6" s="110">
        <f t="shared" si="3"/>
        <v>0.35470880858825815</v>
      </c>
      <c r="J6" s="110">
        <f t="shared" si="3"/>
        <v>0.24284387455685197</v>
      </c>
      <c r="K6" s="110">
        <f t="shared" si="3"/>
        <v>0.14566021646390981</v>
      </c>
    </row>
    <row r="8" spans="1:11" s="9" customFormat="1" ht="15.75" thickBot="1">
      <c r="A8" s="60" t="s">
        <v>134</v>
      </c>
      <c r="B8" s="112">
        <f t="shared" ref="B8:J8" si="4">B2</f>
        <v>39082</v>
      </c>
      <c r="C8" s="112">
        <f t="shared" si="4"/>
        <v>39447</v>
      </c>
      <c r="D8" s="112">
        <f t="shared" si="4"/>
        <v>39813</v>
      </c>
      <c r="E8" s="112">
        <f t="shared" si="4"/>
        <v>40178</v>
      </c>
      <c r="F8" s="112">
        <f t="shared" si="4"/>
        <v>40543</v>
      </c>
      <c r="G8" s="112">
        <f t="shared" si="4"/>
        <v>40908</v>
      </c>
      <c r="H8" s="112">
        <f t="shared" si="4"/>
        <v>41274</v>
      </c>
      <c r="I8" s="112">
        <f t="shared" si="4"/>
        <v>41639</v>
      </c>
      <c r="J8" s="112">
        <f t="shared" si="4"/>
        <v>42004</v>
      </c>
      <c r="K8" s="112">
        <f>K2</f>
        <v>42369</v>
      </c>
    </row>
    <row r="9" spans="1:11">
      <c r="A9" s="113" t="s">
        <v>135</v>
      </c>
      <c r="B9" s="114">
        <v>658.6</v>
      </c>
      <c r="C9" s="114">
        <v>827.3</v>
      </c>
      <c r="D9" s="114">
        <v>1103</v>
      </c>
      <c r="E9" s="114">
        <v>1771.5</v>
      </c>
      <c r="F9" s="114">
        <v>2117.4</v>
      </c>
      <c r="G9" s="114">
        <v>2193.1</v>
      </c>
      <c r="H9" s="114">
        <v>4781.6000000000004</v>
      </c>
      <c r="I9" s="114">
        <v>4757.5</v>
      </c>
      <c r="J9" s="114">
        <v>4549</v>
      </c>
      <c r="K9" s="114">
        <v>4848</v>
      </c>
    </row>
    <row r="10" spans="1:11">
      <c r="A10" s="115" t="s">
        <v>136</v>
      </c>
      <c r="B10" s="114">
        <v>-66.599999999999994</v>
      </c>
      <c r="C10" s="114">
        <v>-75</v>
      </c>
      <c r="D10" s="114">
        <v>-85.8</v>
      </c>
      <c r="E10" s="114">
        <v>-147.5</v>
      </c>
      <c r="F10" s="114">
        <v>-119.9</v>
      </c>
      <c r="G10" s="114">
        <v>-144.4</v>
      </c>
      <c r="H10" s="114">
        <v>-160.19999999999999</v>
      </c>
      <c r="I10" s="114">
        <v>-423</v>
      </c>
      <c r="J10" s="114">
        <v>-436.6</v>
      </c>
      <c r="K10" s="114">
        <v>-300</v>
      </c>
    </row>
    <row r="11" spans="1:11">
      <c r="A11" s="116" t="s">
        <v>137</v>
      </c>
      <c r="B11" s="5">
        <f t="shared" ref="B11:K11" si="5">B9+B10</f>
        <v>592</v>
      </c>
      <c r="C11" s="5">
        <f t="shared" si="5"/>
        <v>752.3</v>
      </c>
      <c r="D11" s="5">
        <f t="shared" si="5"/>
        <v>1017.2</v>
      </c>
      <c r="E11" s="5">
        <f t="shared" si="5"/>
        <v>1624</v>
      </c>
      <c r="F11" s="5">
        <f t="shared" si="5"/>
        <v>1997.5</v>
      </c>
      <c r="G11" s="5">
        <f t="shared" si="5"/>
        <v>2048.6999999999998</v>
      </c>
      <c r="H11" s="5">
        <f t="shared" si="5"/>
        <v>4621.4000000000005</v>
      </c>
      <c r="I11" s="5">
        <f t="shared" si="5"/>
        <v>4334.5</v>
      </c>
      <c r="J11" s="5">
        <f t="shared" si="5"/>
        <v>4112.3999999999996</v>
      </c>
      <c r="K11" s="5">
        <f t="shared" si="5"/>
        <v>4548</v>
      </c>
    </row>
    <row r="12" spans="1:11">
      <c r="A12" s="109" t="s">
        <v>127</v>
      </c>
      <c r="B12" s="110">
        <f t="shared" ref="B12:K12" si="6">IFERROR(B11/B$3,"")</f>
        <v>3.3724507234818277E-2</v>
      </c>
      <c r="C12" s="110">
        <f t="shared" si="6"/>
        <v>4.1168680500831799E-2</v>
      </c>
      <c r="D12" s="110">
        <f t="shared" si="6"/>
        <v>4.6282646282646285E-2</v>
      </c>
      <c r="E12" s="110">
        <f t="shared" si="6"/>
        <v>6.5689680976284567E-2</v>
      </c>
      <c r="F12" s="110">
        <f t="shared" si="6"/>
        <v>4.4415340691789783E-2</v>
      </c>
      <c r="G12" s="110">
        <f t="shared" si="6"/>
        <v>4.441308264124192E-2</v>
      </c>
      <c r="H12" s="110">
        <f t="shared" si="6"/>
        <v>4.9313711994860981E-2</v>
      </c>
      <c r="I12" s="110">
        <f t="shared" si="6"/>
        <v>4.1638328203591202E-2</v>
      </c>
      <c r="J12" s="110">
        <f t="shared" si="6"/>
        <v>4.0762396778180755E-2</v>
      </c>
      <c r="K12" s="110">
        <f t="shared" si="6"/>
        <v>4.469699798922476E-2</v>
      </c>
    </row>
    <row r="13" spans="1:11">
      <c r="A13" s="109" t="s">
        <v>138</v>
      </c>
      <c r="B13" s="109"/>
      <c r="C13" s="110">
        <f t="shared" ref="C13:F13" si="7">IFERROR(C11/B11-1,"")</f>
        <v>0.27077702702702688</v>
      </c>
      <c r="D13" s="110">
        <f t="shared" si="7"/>
        <v>0.35212016482786135</v>
      </c>
      <c r="E13" s="110">
        <f t="shared" si="7"/>
        <v>0.59653952025167123</v>
      </c>
      <c r="F13" s="110">
        <f t="shared" si="7"/>
        <v>0.22998768472906406</v>
      </c>
      <c r="G13" s="110">
        <f>IFERROR(G11/F11-1,"")</f>
        <v>2.5632040050062477E-2</v>
      </c>
      <c r="H13" s="110">
        <f t="shared" ref="H13:K13" si="8">IFERROR(H11/G11-1,"")</f>
        <v>1.2557719529457709</v>
      </c>
      <c r="I13" s="110">
        <f t="shared" si="8"/>
        <v>-6.208075474964303E-2</v>
      </c>
      <c r="J13" s="110">
        <f t="shared" si="8"/>
        <v>-5.1240050755565925E-2</v>
      </c>
      <c r="K13" s="110">
        <f t="shared" si="8"/>
        <v>0.10592354829296768</v>
      </c>
    </row>
    <row r="14" spans="1:11">
      <c r="A14" s="109" t="s">
        <v>139</v>
      </c>
      <c r="B14" s="109"/>
      <c r="C14" s="109"/>
      <c r="D14" s="109"/>
      <c r="E14" s="110">
        <f>IFERROR(SUM(C11:E11)/SUM(B11:D11)-1,"")</f>
        <v>0.43701037476180393</v>
      </c>
      <c r="F14" s="110">
        <f t="shared" ref="F14:K14" si="9">IFERROR(SUM(D11:F11)/SUM(C11:E11)-1,"")</f>
        <v>0.36693679092382481</v>
      </c>
      <c r="G14" s="110">
        <f t="shared" si="9"/>
        <v>0.22236833595619454</v>
      </c>
      <c r="H14" s="110">
        <f t="shared" si="9"/>
        <v>0.52862332898310482</v>
      </c>
      <c r="I14" s="110">
        <f t="shared" si="9"/>
        <v>0.26962480963588531</v>
      </c>
      <c r="J14" s="110">
        <f t="shared" si="9"/>
        <v>0.18753066899296655</v>
      </c>
      <c r="K14" s="110">
        <f t="shared" si="9"/>
        <v>-5.6166448581683737E-3</v>
      </c>
    </row>
    <row r="15" spans="1:11">
      <c r="A15" s="109" t="s">
        <v>133</v>
      </c>
      <c r="B15" s="109"/>
      <c r="C15" s="109"/>
      <c r="D15" s="109"/>
      <c r="E15" s="109"/>
      <c r="F15" s="110"/>
      <c r="G15" s="110">
        <f>IFERROR(SUM(C11:G11)/SUM(B11:F11)-1,"")</f>
        <v>0.24347317399298007</v>
      </c>
      <c r="H15" s="110">
        <f t="shared" ref="H15:K15" si="10">IFERROR(SUM(D11:H11)/SUM(C11:G11)-1,"")</f>
        <v>0.52006129279406421</v>
      </c>
      <c r="I15" s="110">
        <f t="shared" si="10"/>
        <v>0.29333793152235432</v>
      </c>
      <c r="J15" s="110">
        <f t="shared" si="10"/>
        <v>0.1701342121276348</v>
      </c>
      <c r="K15" s="110">
        <f t="shared" si="10"/>
        <v>0.1490256799789651</v>
      </c>
    </row>
    <row r="16" spans="1:11" s="9" customFormat="1">
      <c r="A16"/>
      <c r="B16"/>
      <c r="C16"/>
      <c r="D16"/>
      <c r="E16"/>
      <c r="F16"/>
      <c r="G16"/>
      <c r="H16"/>
      <c r="I16"/>
      <c r="J16"/>
      <c r="K16"/>
    </row>
    <row r="17" spans="1:11" s="9" customFormat="1" ht="15.75" thickBot="1">
      <c r="A17" s="60" t="s">
        <v>140</v>
      </c>
      <c r="B17" s="112">
        <f t="shared" ref="B17:J17" si="11">B2</f>
        <v>39082</v>
      </c>
      <c r="C17" s="112">
        <f t="shared" si="11"/>
        <v>39447</v>
      </c>
      <c r="D17" s="112">
        <f t="shared" si="11"/>
        <v>39813</v>
      </c>
      <c r="E17" s="112">
        <f t="shared" si="11"/>
        <v>40178</v>
      </c>
      <c r="F17" s="112">
        <f t="shared" si="11"/>
        <v>40543</v>
      </c>
      <c r="G17" s="112">
        <f t="shared" si="11"/>
        <v>40908</v>
      </c>
      <c r="H17" s="112">
        <f t="shared" si="11"/>
        <v>41274</v>
      </c>
      <c r="I17" s="112">
        <f t="shared" si="11"/>
        <v>41639</v>
      </c>
      <c r="J17" s="112">
        <f t="shared" si="11"/>
        <v>42004</v>
      </c>
      <c r="K17" s="112">
        <f>K2</f>
        <v>42369</v>
      </c>
    </row>
    <row r="18" spans="1:11">
      <c r="A18" s="113" t="s">
        <v>141</v>
      </c>
      <c r="B18" s="114">
        <v>-66.599999999999994</v>
      </c>
      <c r="C18" s="114">
        <v>-75</v>
      </c>
      <c r="D18" s="114">
        <v>-85.8</v>
      </c>
      <c r="E18" s="114">
        <v>-147.5</v>
      </c>
      <c r="F18" s="114">
        <v>-119.9</v>
      </c>
      <c r="G18" s="114">
        <v>-144.4</v>
      </c>
      <c r="H18" s="114">
        <v>-160.19999999999999</v>
      </c>
      <c r="I18" s="114">
        <v>-423</v>
      </c>
      <c r="J18" s="114">
        <v>-436.6</v>
      </c>
      <c r="K18" s="114">
        <v>-295.89999999999998</v>
      </c>
    </row>
    <row r="19" spans="1:11" s="118" customFormat="1">
      <c r="A19" s="115" t="s">
        <v>178</v>
      </c>
      <c r="B19" s="117">
        <f t="shared" ref="B19:K19" si="12">B18-B10</f>
        <v>0</v>
      </c>
      <c r="C19" s="117">
        <f t="shared" si="12"/>
        <v>0</v>
      </c>
      <c r="D19" s="117">
        <f t="shared" si="12"/>
        <v>0</v>
      </c>
      <c r="E19" s="117">
        <f t="shared" si="12"/>
        <v>0</v>
      </c>
      <c r="F19" s="117">
        <f t="shared" si="12"/>
        <v>0</v>
      </c>
      <c r="G19" s="117">
        <f t="shared" si="12"/>
        <v>0</v>
      </c>
      <c r="H19" s="117">
        <f t="shared" si="12"/>
        <v>0</v>
      </c>
      <c r="I19" s="117">
        <f t="shared" si="12"/>
        <v>0</v>
      </c>
      <c r="J19" s="117">
        <f t="shared" si="12"/>
        <v>0</v>
      </c>
      <c r="K19" s="117">
        <f t="shared" si="12"/>
        <v>4.1000000000000227</v>
      </c>
    </row>
    <row r="20" spans="1:11" s="118" customFormat="1">
      <c r="A20" s="115" t="s">
        <v>142</v>
      </c>
      <c r="B20" s="114"/>
      <c r="C20" s="114"/>
      <c r="D20" s="114"/>
      <c r="E20" s="114"/>
      <c r="F20" s="114"/>
      <c r="G20" s="114">
        <v>0</v>
      </c>
      <c r="H20" s="114">
        <v>61.5</v>
      </c>
      <c r="I20" s="114">
        <v>356.9</v>
      </c>
      <c r="J20" s="114"/>
      <c r="K20" s="114">
        <v>0</v>
      </c>
    </row>
    <row r="21" spans="1:11" s="118" customFormat="1">
      <c r="A21" s="115" t="s">
        <v>143</v>
      </c>
      <c r="B21" s="114"/>
      <c r="C21" s="114"/>
      <c r="D21" s="114"/>
      <c r="E21" s="114"/>
      <c r="F21" s="114"/>
      <c r="G21" s="114">
        <v>0</v>
      </c>
      <c r="H21" s="114">
        <v>-10326</v>
      </c>
      <c r="I21" s="114">
        <v>-14.5</v>
      </c>
      <c r="J21" s="114">
        <v>2.2000000000000002</v>
      </c>
      <c r="K21" s="114"/>
    </row>
    <row r="22" spans="1:11">
      <c r="A22" s="113" t="s">
        <v>144</v>
      </c>
      <c r="B22" s="114"/>
      <c r="C22" s="114"/>
      <c r="D22" s="114"/>
      <c r="E22" s="114"/>
      <c r="F22" s="114"/>
      <c r="G22" s="114"/>
      <c r="H22" s="114"/>
      <c r="I22" s="114"/>
      <c r="J22" s="114"/>
      <c r="K22" s="114"/>
    </row>
    <row r="23" spans="1:11">
      <c r="A23" s="119" t="s">
        <v>145</v>
      </c>
      <c r="B23" s="120">
        <v>19.519477091599999</v>
      </c>
      <c r="C23" s="120">
        <v>25.3996739044</v>
      </c>
      <c r="D23" s="120">
        <v>32.772496047399997</v>
      </c>
      <c r="E23" s="120">
        <v>33.612182539700001</v>
      </c>
      <c r="F23" s="120">
        <v>48.705848214299998</v>
      </c>
      <c r="G23" s="120">
        <v>50.920634920600001</v>
      </c>
      <c r="H23" s="120">
        <v>55.872109600000002</v>
      </c>
      <c r="I23" s="120">
        <v>61.674492063499997</v>
      </c>
      <c r="J23" s="120">
        <v>73.656930555599999</v>
      </c>
      <c r="K23" s="120">
        <v>86.02</v>
      </c>
    </row>
    <row r="24" spans="1:11">
      <c r="A24" s="121" t="s">
        <v>146</v>
      </c>
      <c r="B24" s="122"/>
      <c r="C24" s="122"/>
      <c r="D24" s="122"/>
      <c r="E24" s="122"/>
      <c r="F24" s="122"/>
      <c r="G24" s="122">
        <v>0.5</v>
      </c>
      <c r="H24" s="122">
        <v>332.1</v>
      </c>
      <c r="I24" s="122">
        <v>15.9</v>
      </c>
      <c r="J24" s="122">
        <v>14.6</v>
      </c>
      <c r="K24" s="122">
        <v>5.9</v>
      </c>
    </row>
    <row r="25" spans="1:11">
      <c r="A25" s="123" t="s">
        <v>147</v>
      </c>
      <c r="B25" s="124"/>
      <c r="C25" s="124"/>
      <c r="D25" s="124"/>
      <c r="E25" s="124"/>
      <c r="F25" s="124"/>
      <c r="G25" s="124">
        <v>32.200000000000003</v>
      </c>
      <c r="H25" s="124">
        <v>371.3</v>
      </c>
      <c r="I25" s="124">
        <v>508.7</v>
      </c>
      <c r="J25" s="124">
        <v>604.5</v>
      </c>
      <c r="K25" s="124">
        <v>241.3</v>
      </c>
    </row>
    <row r="26" spans="1:11">
      <c r="A26" s="113" t="s">
        <v>148</v>
      </c>
      <c r="B26" s="125">
        <f t="shared" ref="B26:E26" si="13">-B23*B24+B25</f>
        <v>0</v>
      </c>
      <c r="C26" s="125">
        <f t="shared" si="13"/>
        <v>0</v>
      </c>
      <c r="D26" s="125">
        <f t="shared" si="13"/>
        <v>0</v>
      </c>
      <c r="E26" s="125">
        <f t="shared" si="13"/>
        <v>0</v>
      </c>
      <c r="F26" s="125">
        <f>-F23*F24+F25</f>
        <v>0</v>
      </c>
      <c r="G26" s="125">
        <f t="shared" ref="G26:K26" si="14">-G23*G24+G25</f>
        <v>6.7396825397000022</v>
      </c>
      <c r="H26" s="125">
        <f t="shared" si="14"/>
        <v>-18183.827598160002</v>
      </c>
      <c r="I26" s="125">
        <f t="shared" si="14"/>
        <v>-471.92442380965002</v>
      </c>
      <c r="J26" s="125">
        <f t="shared" si="14"/>
        <v>-470.89118611175991</v>
      </c>
      <c r="K26" s="125">
        <f t="shared" si="14"/>
        <v>-266.21800000000002</v>
      </c>
    </row>
    <row r="27" spans="1:11">
      <c r="A27" s="1" t="s">
        <v>149</v>
      </c>
      <c r="B27" s="5">
        <f t="shared" ref="B27:K27" si="15">B19+B20+B21+B22+B26</f>
        <v>0</v>
      </c>
      <c r="C27" s="5">
        <f t="shared" si="15"/>
        <v>0</v>
      </c>
      <c r="D27" s="5">
        <f t="shared" si="15"/>
        <v>0</v>
      </c>
      <c r="E27" s="5">
        <f t="shared" si="15"/>
        <v>0</v>
      </c>
      <c r="F27" s="5">
        <f t="shared" si="15"/>
        <v>0</v>
      </c>
      <c r="G27" s="5">
        <f t="shared" si="15"/>
        <v>6.7396825397000022</v>
      </c>
      <c r="H27" s="5">
        <f t="shared" si="15"/>
        <v>-28448.327598160002</v>
      </c>
      <c r="I27" s="5">
        <f t="shared" si="15"/>
        <v>-129.52442380965005</v>
      </c>
      <c r="J27" s="5">
        <f t="shared" si="15"/>
        <v>-468.69118611175992</v>
      </c>
      <c r="K27" s="5">
        <f t="shared" si="15"/>
        <v>-262.11799999999999</v>
      </c>
    </row>
    <row r="28" spans="1:11">
      <c r="A28" s="109" t="s">
        <v>150</v>
      </c>
      <c r="B28" s="110">
        <f t="shared" ref="B28:E28" si="16">IFERROR(-B27/B11,"")</f>
        <v>0</v>
      </c>
      <c r="C28" s="110">
        <f t="shared" si="16"/>
        <v>0</v>
      </c>
      <c r="D28" s="110">
        <f t="shared" si="16"/>
        <v>0</v>
      </c>
      <c r="E28" s="110">
        <f t="shared" si="16"/>
        <v>0</v>
      </c>
      <c r="F28" s="110">
        <f>IFERROR(-F27/F11,"")</f>
        <v>0</v>
      </c>
      <c r="G28" s="110">
        <f t="shared" ref="G28:K28" si="17">IFERROR(-G27/G11,"")</f>
        <v>-3.2897361935373664E-3</v>
      </c>
      <c r="H28" s="110">
        <f t="shared" si="17"/>
        <v>6.1557812780023369</v>
      </c>
      <c r="I28" s="110">
        <f t="shared" si="17"/>
        <v>2.9882206438954909E-2</v>
      </c>
      <c r="J28" s="110">
        <f t="shared" si="17"/>
        <v>0.11397023298116914</v>
      </c>
      <c r="K28" s="110">
        <f t="shared" si="17"/>
        <v>5.7633685136323658E-2</v>
      </c>
    </row>
    <row r="30" spans="1:11" s="9" customFormat="1" ht="15.75" thickBot="1">
      <c r="A30" s="60" t="s">
        <v>151</v>
      </c>
      <c r="B30" s="112">
        <f t="shared" ref="B30:J30" si="18">B2</f>
        <v>39082</v>
      </c>
      <c r="C30" s="112">
        <f t="shared" si="18"/>
        <v>39447</v>
      </c>
      <c r="D30" s="112">
        <f t="shared" si="18"/>
        <v>39813</v>
      </c>
      <c r="E30" s="112">
        <f t="shared" si="18"/>
        <v>40178</v>
      </c>
      <c r="F30" s="112">
        <f t="shared" si="18"/>
        <v>40543</v>
      </c>
      <c r="G30" s="112">
        <f t="shared" si="18"/>
        <v>40908</v>
      </c>
      <c r="H30" s="112">
        <f t="shared" si="18"/>
        <v>41274</v>
      </c>
      <c r="I30" s="112">
        <f t="shared" si="18"/>
        <v>41639</v>
      </c>
      <c r="J30" s="112">
        <f t="shared" si="18"/>
        <v>42004</v>
      </c>
      <c r="K30" s="112">
        <f>K2</f>
        <v>42369</v>
      </c>
    </row>
    <row r="31" spans="1:11" ht="15.75" thickBot="1">
      <c r="A31" s="126" t="s">
        <v>152</v>
      </c>
      <c r="B31" s="4">
        <f t="shared" ref="B31:K31" si="19">B11+B27</f>
        <v>592</v>
      </c>
      <c r="C31" s="4">
        <f t="shared" si="19"/>
        <v>752.3</v>
      </c>
      <c r="D31" s="4">
        <f t="shared" si="19"/>
        <v>1017.2</v>
      </c>
      <c r="E31" s="4">
        <f t="shared" si="19"/>
        <v>1624</v>
      </c>
      <c r="F31" s="4">
        <f t="shared" si="19"/>
        <v>1997.5</v>
      </c>
      <c r="G31" s="4">
        <f t="shared" si="19"/>
        <v>2055.4396825396998</v>
      </c>
      <c r="H31" s="4">
        <f t="shared" si="19"/>
        <v>-23826.92759816</v>
      </c>
      <c r="I31" s="4">
        <f t="shared" si="19"/>
        <v>4204.9755761903498</v>
      </c>
      <c r="J31" s="4">
        <f t="shared" si="19"/>
        <v>3643.7088138882395</v>
      </c>
      <c r="K31" s="4">
        <f t="shared" si="19"/>
        <v>4285.8819999999996</v>
      </c>
    </row>
    <row r="32" spans="1:11" ht="15.75" thickTop="1">
      <c r="A32" s="109" t="s">
        <v>128</v>
      </c>
      <c r="B32" s="110">
        <f t="shared" ref="B32:K32" si="20">IFERROR(B31/B$3,"")</f>
        <v>3.3724507234818277E-2</v>
      </c>
      <c r="C32" s="110">
        <f t="shared" si="20"/>
        <v>4.1168680500831799E-2</v>
      </c>
      <c r="D32" s="110">
        <f t="shared" si="20"/>
        <v>4.6282646282646285E-2</v>
      </c>
      <c r="E32" s="110">
        <f t="shared" si="20"/>
        <v>6.5689680976284567E-2</v>
      </c>
      <c r="F32" s="110">
        <f t="shared" si="20"/>
        <v>4.4415340691789783E-2</v>
      </c>
      <c r="G32" s="110">
        <f t="shared" si="20"/>
        <v>4.4559189966673379E-2</v>
      </c>
      <c r="H32" s="110">
        <f t="shared" si="20"/>
        <v>-0.2542507130519035</v>
      </c>
      <c r="I32" s="110">
        <f t="shared" si="20"/>
        <v>4.039408308443853E-2</v>
      </c>
      <c r="J32" s="110">
        <f t="shared" si="20"/>
        <v>3.6116696920500631E-2</v>
      </c>
      <c r="K32" s="110">
        <f t="shared" si="20"/>
        <v>4.2120945280574883E-2</v>
      </c>
    </row>
    <row r="33" spans="1:11">
      <c r="A33" s="109" t="s">
        <v>138</v>
      </c>
      <c r="B33" s="109"/>
      <c r="C33" s="110">
        <f t="shared" ref="C33:F33" si="21">IFERROR(C31/B31-1,"")</f>
        <v>0.27077702702702688</v>
      </c>
      <c r="D33" s="110">
        <f t="shared" si="21"/>
        <v>0.35212016482786135</v>
      </c>
      <c r="E33" s="110">
        <f t="shared" si="21"/>
        <v>0.59653952025167123</v>
      </c>
      <c r="F33" s="110">
        <f t="shared" si="21"/>
        <v>0.22998768472906406</v>
      </c>
      <c r="G33" s="110">
        <f>IFERROR(G31/F31-1,"")</f>
        <v>2.9006098893466836E-2</v>
      </c>
      <c r="H33" s="110">
        <f t="shared" ref="H33:K33" si="22">IFERROR(H31/G31-1,"")</f>
        <v>-12.592131747071978</v>
      </c>
      <c r="I33" s="110">
        <f t="shared" si="22"/>
        <v>-1.176479974552618</v>
      </c>
      <c r="J33" s="110">
        <f t="shared" si="22"/>
        <v>-0.13347681862414296</v>
      </c>
      <c r="K33" s="110">
        <f t="shared" si="22"/>
        <v>0.17624163151129801</v>
      </c>
    </row>
    <row r="34" spans="1:11">
      <c r="A34" s="109" t="s">
        <v>139</v>
      </c>
      <c r="B34" s="109"/>
      <c r="C34" s="109"/>
      <c r="D34" s="109"/>
      <c r="E34" s="110">
        <f>IFERROR(SUM(C31:E31)/SUM(B31:D31)-1,"")</f>
        <v>0.43701037476180393</v>
      </c>
      <c r="F34" s="110">
        <f t="shared" ref="F34" si="23">IFERROR(SUM(D31:F31)/SUM(C31:E31)-1,"")</f>
        <v>0.36693679092382481</v>
      </c>
      <c r="G34" s="110">
        <f t="shared" ref="G34:K34" si="24">IFERROR(SUM(E31:G31)/SUM(D31:F31)-1,"")</f>
        <v>0.22382126081438769</v>
      </c>
      <c r="H34" s="110">
        <f t="shared" si="24"/>
        <v>-4.4832126147893092</v>
      </c>
      <c r="I34" s="110">
        <f t="shared" si="24"/>
        <v>-0.1116353254391631</v>
      </c>
      <c r="J34" s="110">
        <f t="shared" si="24"/>
        <v>-9.0414596856741913E-2</v>
      </c>
      <c r="K34" s="110">
        <f t="shared" si="24"/>
        <v>-1.7594430897097135</v>
      </c>
    </row>
    <row r="35" spans="1:11">
      <c r="A35" s="109" t="s">
        <v>133</v>
      </c>
      <c r="B35" s="109"/>
      <c r="C35" s="109"/>
      <c r="D35" s="109"/>
      <c r="E35" s="109"/>
      <c r="F35" s="110"/>
      <c r="G35" s="110">
        <f>IFERROR(SUM(C31:G31)/SUM(B31:F31)-1,"")</f>
        <v>0.24459964608719709</v>
      </c>
      <c r="H35" s="110">
        <f t="shared" ref="H35" si="25">IFERROR(SUM(D31:H31)/SUM(C31:G31)-1,"")</f>
        <v>-3.3008026178998007</v>
      </c>
      <c r="I35" s="110">
        <f t="shared" ref="I35:K35" si="26">IFERROR(SUM(E31:I31)/SUM(D31:H31)-1,"")</f>
        <v>-0.18606286331741673</v>
      </c>
      <c r="J35" s="110">
        <f t="shared" si="26"/>
        <v>-0.1448337774630325</v>
      </c>
      <c r="K35" s="110">
        <f t="shared" si="26"/>
        <v>-0.19189297740713473</v>
      </c>
    </row>
    <row r="37" spans="1:11" s="9" customFormat="1" ht="15.75" thickBot="1">
      <c r="A37" s="60" t="s">
        <v>153</v>
      </c>
      <c r="B37" s="127">
        <f t="shared" ref="B37:E37" si="27">B2</f>
        <v>39082</v>
      </c>
      <c r="C37" s="127">
        <f t="shared" si="27"/>
        <v>39447</v>
      </c>
      <c r="D37" s="127">
        <f t="shared" si="27"/>
        <v>39813</v>
      </c>
      <c r="E37" s="127">
        <f t="shared" si="27"/>
        <v>40178</v>
      </c>
      <c r="F37" s="127">
        <f>F2</f>
        <v>40543</v>
      </c>
      <c r="G37" s="127">
        <f t="shared" ref="G37:K37" si="28">G2</f>
        <v>40908</v>
      </c>
      <c r="H37" s="127">
        <f t="shared" si="28"/>
        <v>41274</v>
      </c>
      <c r="I37" s="127">
        <f t="shared" si="28"/>
        <v>41639</v>
      </c>
      <c r="J37" s="127">
        <f t="shared" si="28"/>
        <v>42004</v>
      </c>
      <c r="K37" s="127">
        <f t="shared" si="28"/>
        <v>42369</v>
      </c>
    </row>
    <row r="38" spans="1:11" s="118" customFormat="1" ht="15.75" thickBot="1">
      <c r="A38" s="128" t="s">
        <v>154</v>
      </c>
      <c r="B38" s="129">
        <f>VLOOKUP(B37,'GDP Data'!$A$2:$B$62,2,TRUE)</f>
        <v>14068.4</v>
      </c>
      <c r="C38" s="129">
        <f>VLOOKUP(C37,'GDP Data'!$A$2:$B$62,2,TRUE)</f>
        <v>14690</v>
      </c>
      <c r="D38" s="129">
        <f>VLOOKUP(D37,'GDP Data'!$A$2:$B$62,2,TRUE)</f>
        <v>14549.9</v>
      </c>
      <c r="E38" s="129">
        <f>VLOOKUP(E37,'GDP Data'!$A$2:$B$62,2,TRUE)</f>
        <v>14566.5</v>
      </c>
      <c r="F38" s="129">
        <f>VLOOKUP(F37,'GDP Data'!$A$2:$B$62,2,TRUE)</f>
        <v>15230.2</v>
      </c>
      <c r="G38" s="129">
        <f>VLOOKUP(G37,'GDP Data'!$A$2:$B$62,2,TRUE)</f>
        <v>15785.3</v>
      </c>
      <c r="H38" s="129">
        <f>VLOOKUP(H37,'GDP Data'!$A$2:$B$62,2,TRUE)</f>
        <v>16332.5</v>
      </c>
      <c r="I38" s="129">
        <f>VLOOKUP(I37,'GDP Data'!$A$2:$B$62,2,TRUE)</f>
        <v>17078.3</v>
      </c>
      <c r="J38" s="129">
        <f>VLOOKUP(J37,'GDP Data'!$A$2:$B$62,2,TRUE)</f>
        <v>17703.7</v>
      </c>
      <c r="K38" s="129">
        <f>VLOOKUP(K37,'GDP Data'!$A$2:$B$62,2,TRUE)</f>
        <v>17665</v>
      </c>
    </row>
    <row r="39" spans="1:11">
      <c r="A39" t="s">
        <v>155</v>
      </c>
      <c r="C39" s="130">
        <f t="shared" ref="C39" si="29">C38/B38-1</f>
        <v>4.4184128969890102E-2</v>
      </c>
      <c r="D39" s="130">
        <f t="shared" ref="D39" si="30">D38/C38-1</f>
        <v>-9.5371000680735118E-3</v>
      </c>
      <c r="E39" s="130">
        <f t="shared" ref="E39:F39" si="31">E38/D38-1</f>
        <v>1.1409013120364797E-3</v>
      </c>
      <c r="F39" s="130">
        <f t="shared" si="31"/>
        <v>4.5563450382727577E-2</v>
      </c>
      <c r="G39" s="130">
        <f>G38/F38-1</f>
        <v>3.6447321768591223E-2</v>
      </c>
      <c r="H39" s="130">
        <f t="shared" ref="H39:K39" si="32">H38/G38-1</f>
        <v>3.4665163158128287E-2</v>
      </c>
      <c r="I39" s="130">
        <f t="shared" si="32"/>
        <v>4.5663554262972639E-2</v>
      </c>
      <c r="J39" s="130">
        <f t="shared" si="32"/>
        <v>3.6619569863511003E-2</v>
      </c>
      <c r="K39" s="130">
        <f t="shared" si="32"/>
        <v>-2.1859837209171618E-3</v>
      </c>
    </row>
    <row r="40" spans="1:11">
      <c r="A40" s="131" t="s">
        <v>156</v>
      </c>
      <c r="B40" s="131"/>
      <c r="C40" s="132">
        <f t="shared" ref="C40:F40" si="33">C13</f>
        <v>0.27077702702702688</v>
      </c>
      <c r="D40" s="132">
        <f t="shared" si="33"/>
        <v>0.35212016482786135</v>
      </c>
      <c r="E40" s="132">
        <f t="shared" si="33"/>
        <v>0.59653952025167123</v>
      </c>
      <c r="F40" s="132">
        <f t="shared" si="33"/>
        <v>0.22998768472906406</v>
      </c>
      <c r="G40" s="132">
        <f>G13</f>
        <v>2.5632040050062477E-2</v>
      </c>
      <c r="H40" s="132">
        <f t="shared" ref="H40:K40" si="34">H13</f>
        <v>1.2557719529457709</v>
      </c>
      <c r="I40" s="132">
        <f t="shared" si="34"/>
        <v>-6.208075474964303E-2</v>
      </c>
      <c r="J40" s="132">
        <f t="shared" si="34"/>
        <v>-5.1240050755565925E-2</v>
      </c>
      <c r="K40" s="132">
        <f t="shared" si="34"/>
        <v>0.10592354829296768</v>
      </c>
    </row>
    <row r="41" spans="1:11">
      <c r="A41" t="s">
        <v>157</v>
      </c>
      <c r="D41" s="133"/>
      <c r="E41" s="133">
        <f t="shared" ref="E41" si="35">SUM(C38:E38)/SUM(B38:D38)-1</f>
        <v>1.1501259573799993E-2</v>
      </c>
      <c r="F41" s="133">
        <f t="shared" ref="F41" si="36">SUM(D38:F38)/SUM(C38:E38)-1</f>
        <v>1.2331531465721968E-2</v>
      </c>
      <c r="G41" s="133">
        <f t="shared" ref="G41:J41" si="37">SUM(E38:G38)/SUM(D38:F38)-1</f>
        <v>2.7857829010566659E-2</v>
      </c>
      <c r="H41" s="133">
        <f t="shared" si="37"/>
        <v>3.8743363608441994E-2</v>
      </c>
      <c r="I41" s="133">
        <f t="shared" si="37"/>
        <v>3.9032271690462084E-2</v>
      </c>
      <c r="J41" s="133">
        <f t="shared" si="37"/>
        <v>3.8994960982679627E-2</v>
      </c>
      <c r="K41" s="133">
        <f>SUM(I38:K38)/SUM(H38:J38)-1</f>
        <v>2.606892369092928E-2</v>
      </c>
    </row>
    <row r="42" spans="1:11">
      <c r="A42" s="131" t="s">
        <v>158</v>
      </c>
      <c r="B42" s="131"/>
      <c r="C42" s="131"/>
      <c r="D42" s="132"/>
      <c r="E42" s="132">
        <f t="shared" ref="E42:J42" si="38">E14</f>
        <v>0.43701037476180393</v>
      </c>
      <c r="F42" s="132">
        <f t="shared" si="38"/>
        <v>0.36693679092382481</v>
      </c>
      <c r="G42" s="132">
        <f t="shared" si="38"/>
        <v>0.22236833595619454</v>
      </c>
      <c r="H42" s="132">
        <f t="shared" si="38"/>
        <v>0.52862332898310482</v>
      </c>
      <c r="I42" s="132">
        <f t="shared" si="38"/>
        <v>0.26962480963588531</v>
      </c>
      <c r="J42" s="132">
        <f t="shared" si="38"/>
        <v>0.18753066899296655</v>
      </c>
      <c r="K42" s="132">
        <f>K14</f>
        <v>-5.6166448581683737E-3</v>
      </c>
    </row>
    <row r="43" spans="1:11">
      <c r="A43" t="s">
        <v>159</v>
      </c>
      <c r="G43" s="133">
        <f t="shared" ref="G43:J43" si="39">SUM(C38:G38)/SUM(B38:F38)-1</f>
        <v>2.3485397715614642E-2</v>
      </c>
      <c r="H43" s="133">
        <f t="shared" si="39"/>
        <v>2.1952128988972586E-2</v>
      </c>
      <c r="I43" s="133">
        <f t="shared" si="39"/>
        <v>3.3066368139944791E-2</v>
      </c>
      <c r="J43" s="133">
        <f t="shared" si="39"/>
        <v>3.9715012001093841E-2</v>
      </c>
      <c r="K43" s="133">
        <f>SUM(G38:K38)/SUM(F38:J38)-1</f>
        <v>2.9645683672226975E-2</v>
      </c>
    </row>
    <row r="44" spans="1:11">
      <c r="A44" s="131" t="s">
        <v>160</v>
      </c>
      <c r="B44" s="131"/>
      <c r="C44" s="131"/>
      <c r="D44" s="131"/>
      <c r="E44" s="132"/>
      <c r="F44" s="132"/>
      <c r="G44" s="132">
        <f t="shared" ref="G44:J44" si="40">G15</f>
        <v>0.24347317399298007</v>
      </c>
      <c r="H44" s="132">
        <f t="shared" si="40"/>
        <v>0.52006129279406421</v>
      </c>
      <c r="I44" s="132">
        <f t="shared" si="40"/>
        <v>0.29333793152235432</v>
      </c>
      <c r="J44" s="132">
        <f t="shared" si="40"/>
        <v>0.1701342121276348</v>
      </c>
      <c r="K44" s="132">
        <f>K15</f>
        <v>0.1490256799789651</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opLeftCell="A13" workbookViewId="0">
      <selection activeCell="L33" sqref="L33"/>
    </sheetView>
  </sheetViews>
  <sheetFormatPr defaultRowHeight="15"/>
  <cols>
    <col min="1" max="1" width="37.375" bestFit="1" customWidth="1"/>
    <col min="12" max="12" width="9.625" bestFit="1" customWidth="1"/>
  </cols>
  <sheetData>
    <row r="1" spans="1:16">
      <c r="A1" s="10" t="s">
        <v>37</v>
      </c>
      <c r="B1" s="135">
        <f>'Company Analysis'!B2</f>
        <v>39082</v>
      </c>
      <c r="C1" s="135">
        <f>'Company Analysis'!C2</f>
        <v>39447</v>
      </c>
      <c r="D1" s="135">
        <f>'Company Analysis'!D2</f>
        <v>39813</v>
      </c>
      <c r="E1" s="135">
        <f>'Company Analysis'!E2</f>
        <v>40178</v>
      </c>
      <c r="F1" s="135">
        <f>'Company Analysis'!F2</f>
        <v>40543</v>
      </c>
      <c r="G1" s="135">
        <f>'Company Analysis'!G2</f>
        <v>40908</v>
      </c>
      <c r="H1" s="135">
        <f>'Company Analysis'!H2</f>
        <v>41274</v>
      </c>
      <c r="I1" s="135">
        <f>'Company Analysis'!I2</f>
        <v>41639</v>
      </c>
      <c r="J1" s="135">
        <f>'Company Analysis'!J2</f>
        <v>42004</v>
      </c>
      <c r="K1" s="135">
        <f>'Company Analysis'!K2</f>
        <v>42369</v>
      </c>
      <c r="L1" s="135">
        <f>'Graphing Data'!K1+365</f>
        <v>42734</v>
      </c>
      <c r="M1" s="135">
        <f>'Graphing Data'!L1+365</f>
        <v>43099</v>
      </c>
      <c r="N1" s="135">
        <f>'Graphing Data'!M1+365</f>
        <v>43464</v>
      </c>
      <c r="O1" s="135">
        <f>'Graphing Data'!N1+365</f>
        <v>43829</v>
      </c>
      <c r="P1" s="135">
        <f>'Graphing Data'!O1+365</f>
        <v>44194</v>
      </c>
    </row>
    <row r="2" spans="1:16">
      <c r="A2" t="s">
        <v>163</v>
      </c>
      <c r="B2" s="17">
        <f>'Company Analysis'!B3</f>
        <v>17554</v>
      </c>
      <c r="C2" s="17">
        <f>'Company Analysis'!C3</f>
        <v>18273.599999999999</v>
      </c>
      <c r="D2" s="17">
        <f>'Company Analysis'!D3</f>
        <v>21978</v>
      </c>
      <c r="E2" s="17">
        <f>'Company Analysis'!E3</f>
        <v>24722.3</v>
      </c>
      <c r="F2" s="17">
        <f>'Company Analysis'!F3</f>
        <v>44973.2</v>
      </c>
      <c r="G2" s="17">
        <f>'Company Analysis'!G3</f>
        <v>46128.3</v>
      </c>
      <c r="H2" s="17">
        <f>'Company Analysis'!H3</f>
        <v>93714.3</v>
      </c>
      <c r="I2" s="17">
        <f>'Company Analysis'!I3</f>
        <v>104098.8</v>
      </c>
      <c r="J2" s="17">
        <f>'Company Analysis'!J3</f>
        <v>100887.1</v>
      </c>
      <c r="K2" s="17">
        <f>'Company Analysis'!K3</f>
        <v>101751.8</v>
      </c>
      <c r="L2" s="17"/>
      <c r="M2" s="17"/>
      <c r="N2" s="17"/>
      <c r="O2" s="17"/>
      <c r="P2" s="17"/>
    </row>
    <row r="3" spans="1:16">
      <c r="A3" t="s">
        <v>164</v>
      </c>
      <c r="L3" s="17">
        <f>$K$2*(1+'Valuation Model'!C8)</f>
        <v>101751.8</v>
      </c>
      <c r="M3" s="17">
        <f>L3*(1+'Valuation Model'!D8)</f>
        <v>101751.8</v>
      </c>
      <c r="N3" s="17">
        <f>M3*(1+'Valuation Model'!E8)</f>
        <v>101751.8</v>
      </c>
      <c r="O3" s="17">
        <f>N3*(1+'Valuation Model'!F8)</f>
        <v>101751.8</v>
      </c>
      <c r="P3" s="17">
        <f>O3*(1+'Valuation Model'!G8)</f>
        <v>101751.8</v>
      </c>
    </row>
    <row r="4" spans="1:16">
      <c r="A4" t="s">
        <v>165</v>
      </c>
      <c r="L4" s="17">
        <f>$K$2*(1+'Valuation Model'!C9)</f>
        <v>101751.8</v>
      </c>
      <c r="M4" s="17">
        <f>L4*(1+'Valuation Model'!D9)</f>
        <v>101751.8</v>
      </c>
      <c r="N4" s="17">
        <f>M4*(1+'Valuation Model'!E9)</f>
        <v>101751.8</v>
      </c>
      <c r="O4" s="17">
        <f>N4*(1+'Valuation Model'!F9)</f>
        <v>101751.8</v>
      </c>
      <c r="P4" s="17">
        <f>O4*(1+'Valuation Model'!G9)</f>
        <v>101751.8</v>
      </c>
    </row>
    <row r="5" spans="1:16">
      <c r="A5" t="s">
        <v>166</v>
      </c>
      <c r="C5" s="20">
        <f>C2/B2-1</f>
        <v>4.0993505753674331E-2</v>
      </c>
      <c r="D5" s="20">
        <f t="shared" ref="D5:K5" si="0">D2/C2-1</f>
        <v>0.2027186761229316</v>
      </c>
      <c r="E5" s="20">
        <f t="shared" si="0"/>
        <v>0.12486577486577488</v>
      </c>
      <c r="F5" s="20">
        <f t="shared" si="0"/>
        <v>0.819134951036109</v>
      </c>
      <c r="G5" s="20">
        <f t="shared" si="0"/>
        <v>2.5684185248103342E-2</v>
      </c>
      <c r="H5" s="20">
        <f t="shared" si="0"/>
        <v>1.0316009911486006</v>
      </c>
      <c r="I5" s="20">
        <f t="shared" si="0"/>
        <v>0.11081019652283586</v>
      </c>
      <c r="J5" s="20">
        <f t="shared" si="0"/>
        <v>-3.0852420969309846E-2</v>
      </c>
      <c r="K5" s="20">
        <f t="shared" si="0"/>
        <v>8.5709669521671916E-3</v>
      </c>
    </row>
    <row r="6" spans="1:16">
      <c r="A6" t="s">
        <v>167</v>
      </c>
      <c r="K6" s="100">
        <f>K5</f>
        <v>8.5709669521671916E-3</v>
      </c>
      <c r="L6" s="100">
        <f>'Valuation Model'!C8</f>
        <v>0</v>
      </c>
      <c r="M6" s="100">
        <f>'Valuation Model'!D8</f>
        <v>0</v>
      </c>
      <c r="N6" s="100">
        <f>'Valuation Model'!E8</f>
        <v>0</v>
      </c>
      <c r="O6" s="100">
        <f>'Valuation Model'!F8</f>
        <v>0</v>
      </c>
      <c r="P6" s="100">
        <f>'Valuation Model'!G8</f>
        <v>0</v>
      </c>
    </row>
    <row r="7" spans="1:16">
      <c r="A7" t="s">
        <v>168</v>
      </c>
      <c r="K7" s="100">
        <f>K5</f>
        <v>8.5709669521671916E-3</v>
      </c>
      <c r="L7" s="100">
        <f>'Valuation Model'!C9</f>
        <v>0</v>
      </c>
      <c r="M7" s="100">
        <f>'Valuation Model'!D9</f>
        <v>0</v>
      </c>
      <c r="N7" s="100">
        <f>'Valuation Model'!E9</f>
        <v>0</v>
      </c>
      <c r="O7" s="100">
        <f>'Valuation Model'!F9</f>
        <v>0</v>
      </c>
      <c r="P7" s="100">
        <f>'Valuation Model'!G9</f>
        <v>0</v>
      </c>
    </row>
    <row r="9" spans="1:16">
      <c r="A9" s="10" t="s">
        <v>71</v>
      </c>
      <c r="B9" s="135">
        <f>B1</f>
        <v>39082</v>
      </c>
      <c r="C9" s="135">
        <f t="shared" ref="C9:P9" si="1">C1</f>
        <v>39447</v>
      </c>
      <c r="D9" s="135">
        <f t="shared" si="1"/>
        <v>39813</v>
      </c>
      <c r="E9" s="135">
        <f t="shared" si="1"/>
        <v>40178</v>
      </c>
      <c r="F9" s="135">
        <f t="shared" si="1"/>
        <v>40543</v>
      </c>
      <c r="G9" s="135">
        <f t="shared" si="1"/>
        <v>40908</v>
      </c>
      <c r="H9" s="135">
        <f t="shared" si="1"/>
        <v>41274</v>
      </c>
      <c r="I9" s="135">
        <f t="shared" si="1"/>
        <v>41639</v>
      </c>
      <c r="J9" s="135">
        <f t="shared" si="1"/>
        <v>42004</v>
      </c>
      <c r="K9" s="135">
        <f t="shared" si="1"/>
        <v>42369</v>
      </c>
      <c r="L9" s="135">
        <f t="shared" si="1"/>
        <v>42734</v>
      </c>
      <c r="M9" s="135">
        <f t="shared" si="1"/>
        <v>43099</v>
      </c>
      <c r="N9" s="135">
        <f t="shared" si="1"/>
        <v>43464</v>
      </c>
      <c r="O9" s="135">
        <f t="shared" si="1"/>
        <v>43829</v>
      </c>
      <c r="P9" s="135">
        <f t="shared" si="1"/>
        <v>44194</v>
      </c>
    </row>
    <row r="10" spans="1:16">
      <c r="A10" t="s">
        <v>169</v>
      </c>
      <c r="B10" s="17">
        <f>'Company Analysis'!B11</f>
        <v>592</v>
      </c>
      <c r="C10" s="17">
        <f>'Company Analysis'!C11</f>
        <v>752.3</v>
      </c>
      <c r="D10" s="17">
        <f>'Company Analysis'!D11</f>
        <v>1017.2</v>
      </c>
      <c r="E10" s="17">
        <f>'Company Analysis'!E11</f>
        <v>1624</v>
      </c>
      <c r="F10" s="17">
        <f>'Company Analysis'!F11</f>
        <v>1997.5</v>
      </c>
      <c r="G10" s="17">
        <f>'Company Analysis'!G11</f>
        <v>2048.6999999999998</v>
      </c>
      <c r="H10" s="17">
        <f>'Company Analysis'!H11</f>
        <v>4621.4000000000005</v>
      </c>
      <c r="I10" s="17">
        <f>'Company Analysis'!I11</f>
        <v>4334.5</v>
      </c>
      <c r="J10" s="17">
        <f>'Company Analysis'!J11</f>
        <v>4112.3999999999996</v>
      </c>
      <c r="K10" s="17">
        <f>'Company Analysis'!K11</f>
        <v>4548</v>
      </c>
    </row>
    <row r="11" spans="1:16">
      <c r="A11" t="s">
        <v>170</v>
      </c>
      <c r="L11" s="18">
        <f>'Valuation Model'!C10*'Graphing Data'!L3</f>
        <v>0</v>
      </c>
      <c r="M11" s="18">
        <f>'Valuation Model'!D10*'Graphing Data'!M3</f>
        <v>0</v>
      </c>
      <c r="N11" s="18">
        <f>'Valuation Model'!E10*'Graphing Data'!N3</f>
        <v>0</v>
      </c>
      <c r="O11" s="18">
        <f>'Valuation Model'!F10*'Graphing Data'!O3</f>
        <v>0</v>
      </c>
      <c r="P11" s="18">
        <f>'Valuation Model'!G10*'Graphing Data'!P3</f>
        <v>0</v>
      </c>
    </row>
    <row r="12" spans="1:16">
      <c r="A12" t="s">
        <v>171</v>
      </c>
      <c r="L12" s="18">
        <f>'Valuation Model'!C11*'Graphing Data'!L4</f>
        <v>0</v>
      </c>
      <c r="M12" s="18">
        <f>'Valuation Model'!D11*'Graphing Data'!M4</f>
        <v>0</v>
      </c>
      <c r="N12" s="18">
        <f>'Valuation Model'!E11*'Graphing Data'!N4</f>
        <v>0</v>
      </c>
      <c r="O12" s="18">
        <f>'Valuation Model'!F11*'Graphing Data'!O4</f>
        <v>0</v>
      </c>
      <c r="P12" s="18">
        <f>'Valuation Model'!G11*'Graphing Data'!P4</f>
        <v>0</v>
      </c>
    </row>
    <row r="13" spans="1:16">
      <c r="A13" t="s">
        <v>172</v>
      </c>
      <c r="B13" s="20">
        <f>B10/B2</f>
        <v>3.3724507234818277E-2</v>
      </c>
      <c r="C13" s="20">
        <f t="shared" ref="C13:K13" si="2">C10/C2</f>
        <v>4.1168680500831799E-2</v>
      </c>
      <c r="D13" s="20">
        <f t="shared" si="2"/>
        <v>4.6282646282646285E-2</v>
      </c>
      <c r="E13" s="20">
        <f t="shared" si="2"/>
        <v>6.5689680976284567E-2</v>
      </c>
      <c r="F13" s="20">
        <f t="shared" si="2"/>
        <v>4.4415340691789783E-2</v>
      </c>
      <c r="G13" s="20">
        <f t="shared" si="2"/>
        <v>4.441308264124192E-2</v>
      </c>
      <c r="H13" s="20">
        <f t="shared" si="2"/>
        <v>4.9313711994860981E-2</v>
      </c>
      <c r="I13" s="20">
        <f t="shared" si="2"/>
        <v>4.1638328203591202E-2</v>
      </c>
      <c r="J13" s="20">
        <f t="shared" si="2"/>
        <v>4.0762396778180755E-2</v>
      </c>
      <c r="K13" s="20">
        <f t="shared" si="2"/>
        <v>4.469699798922476E-2</v>
      </c>
    </row>
    <row r="14" spans="1:16">
      <c r="A14" t="s">
        <v>173</v>
      </c>
      <c r="K14" s="100">
        <f>K13</f>
        <v>4.469699798922476E-2</v>
      </c>
      <c r="L14" s="100">
        <f>'Valuation Model'!C10</f>
        <v>0</v>
      </c>
      <c r="M14" s="100">
        <f>'Valuation Model'!D10</f>
        <v>0</v>
      </c>
      <c r="N14" s="100">
        <f>'Valuation Model'!E10</f>
        <v>0</v>
      </c>
      <c r="O14" s="100">
        <f>'Valuation Model'!F10</f>
        <v>0</v>
      </c>
      <c r="P14" s="100">
        <f>'Valuation Model'!G10</f>
        <v>0</v>
      </c>
    </row>
    <row r="15" spans="1:16">
      <c r="A15" t="s">
        <v>174</v>
      </c>
      <c r="K15" s="100">
        <f>K13</f>
        <v>4.469699798922476E-2</v>
      </c>
      <c r="L15" s="100">
        <f>'Valuation Model'!C11</f>
        <v>0</v>
      </c>
      <c r="M15" s="100">
        <f>'Valuation Model'!D11</f>
        <v>0</v>
      </c>
      <c r="N15" s="100">
        <f>'Valuation Model'!E11</f>
        <v>0</v>
      </c>
      <c r="O15" s="100">
        <f>'Valuation Model'!F11</f>
        <v>0</v>
      </c>
      <c r="P15" s="100">
        <f>'Valuation Model'!G11</f>
        <v>0</v>
      </c>
    </row>
    <row r="17" spans="1:16">
      <c r="A17" s="10" t="s">
        <v>175</v>
      </c>
      <c r="B17" s="135">
        <f>B9</f>
        <v>39082</v>
      </c>
      <c r="C17" s="135">
        <f t="shared" ref="C17:K17" si="3">C9</f>
        <v>39447</v>
      </c>
      <c r="D17" s="135">
        <f t="shared" si="3"/>
        <v>39813</v>
      </c>
      <c r="E17" s="135">
        <f t="shared" si="3"/>
        <v>40178</v>
      </c>
      <c r="F17" s="135">
        <f t="shared" si="3"/>
        <v>40543</v>
      </c>
      <c r="G17" s="135">
        <f t="shared" si="3"/>
        <v>40908</v>
      </c>
      <c r="H17" s="135">
        <f t="shared" si="3"/>
        <v>41274</v>
      </c>
      <c r="I17" s="135">
        <f t="shared" si="3"/>
        <v>41639</v>
      </c>
      <c r="J17" s="135">
        <f t="shared" si="3"/>
        <v>42004</v>
      </c>
      <c r="K17" s="135">
        <f t="shared" si="3"/>
        <v>42369</v>
      </c>
    </row>
    <row r="18" spans="1:16">
      <c r="A18" t="s">
        <v>137</v>
      </c>
      <c r="B18" s="18">
        <f>B10</f>
        <v>592</v>
      </c>
      <c r="C18" s="18">
        <f t="shared" ref="C18:K18" si="4">C10</f>
        <v>752.3</v>
      </c>
      <c r="D18" s="18">
        <f t="shared" si="4"/>
        <v>1017.2</v>
      </c>
      <c r="E18" s="18">
        <f t="shared" si="4"/>
        <v>1624</v>
      </c>
      <c r="F18" s="18">
        <f t="shared" si="4"/>
        <v>1997.5</v>
      </c>
      <c r="G18" s="18">
        <f t="shared" si="4"/>
        <v>2048.6999999999998</v>
      </c>
      <c r="H18" s="18">
        <f t="shared" si="4"/>
        <v>4621.4000000000005</v>
      </c>
      <c r="I18" s="18">
        <f t="shared" si="4"/>
        <v>4334.5</v>
      </c>
      <c r="J18" s="18">
        <f t="shared" si="4"/>
        <v>4112.3999999999996</v>
      </c>
      <c r="K18" s="18">
        <f t="shared" si="4"/>
        <v>4548</v>
      </c>
    </row>
    <row r="19" spans="1:16">
      <c r="A19" t="s">
        <v>176</v>
      </c>
      <c r="B19" s="18">
        <f>-'Company Analysis'!B27</f>
        <v>0</v>
      </c>
      <c r="C19" s="18">
        <f>-'Company Analysis'!C27</f>
        <v>0</v>
      </c>
      <c r="D19" s="18">
        <f>-'Company Analysis'!D27</f>
        <v>0</v>
      </c>
      <c r="E19" s="18">
        <f>-'Company Analysis'!E27</f>
        <v>0</v>
      </c>
      <c r="F19" s="18">
        <f>-'Company Analysis'!F27</f>
        <v>0</v>
      </c>
      <c r="G19" s="18">
        <f>-'Company Analysis'!G27</f>
        <v>-6.7396825397000022</v>
      </c>
      <c r="H19" s="18">
        <f>-'Company Analysis'!H27</f>
        <v>28448.327598160002</v>
      </c>
      <c r="I19" s="18">
        <f>-'Company Analysis'!I27</f>
        <v>129.52442380965005</v>
      </c>
      <c r="J19" s="18">
        <f>-'Company Analysis'!J27</f>
        <v>468.69118611175992</v>
      </c>
      <c r="K19" s="18">
        <f>-'Company Analysis'!K27</f>
        <v>262.11799999999999</v>
      </c>
    </row>
    <row r="21" spans="1:16">
      <c r="A21" s="10" t="s">
        <v>177</v>
      </c>
      <c r="B21" s="135">
        <f>B17</f>
        <v>39082</v>
      </c>
      <c r="C21" s="135">
        <f t="shared" ref="C21:K21" si="5">C17</f>
        <v>39447</v>
      </c>
      <c r="D21" s="135">
        <f t="shared" si="5"/>
        <v>39813</v>
      </c>
      <c r="E21" s="135">
        <f t="shared" si="5"/>
        <v>40178</v>
      </c>
      <c r="F21" s="135">
        <f t="shared" si="5"/>
        <v>40543</v>
      </c>
      <c r="G21" s="135">
        <f t="shared" si="5"/>
        <v>40908</v>
      </c>
      <c r="H21" s="135">
        <f t="shared" si="5"/>
        <v>41274</v>
      </c>
      <c r="I21" s="135">
        <f t="shared" si="5"/>
        <v>41639</v>
      </c>
      <c r="J21" s="135">
        <f t="shared" si="5"/>
        <v>42004</v>
      </c>
      <c r="K21" s="135">
        <f t="shared" si="5"/>
        <v>42369</v>
      </c>
    </row>
    <row r="22" spans="1:16">
      <c r="A22" t="str">
        <f>'Company Analysis'!A19</f>
        <v>Capex in Excess of Maintenance</v>
      </c>
      <c r="B22" s="18">
        <f>-'Company Analysis'!B19</f>
        <v>0</v>
      </c>
      <c r="C22" s="18">
        <f>-'Company Analysis'!C19</f>
        <v>0</v>
      </c>
      <c r="D22" s="18">
        <f>-'Company Analysis'!D19</f>
        <v>0</v>
      </c>
      <c r="E22" s="18">
        <f>-'Company Analysis'!E19</f>
        <v>0</v>
      </c>
      <c r="F22" s="18">
        <f>-'Company Analysis'!F19</f>
        <v>0</v>
      </c>
      <c r="G22" s="18">
        <f>-'Company Analysis'!G19</f>
        <v>0</v>
      </c>
      <c r="H22" s="18">
        <f>-'Company Analysis'!H19</f>
        <v>0</v>
      </c>
      <c r="I22" s="18">
        <f>-'Company Analysis'!I19</f>
        <v>0</v>
      </c>
      <c r="J22" s="18">
        <f>-'Company Analysis'!J19</f>
        <v>0</v>
      </c>
      <c r="K22" s="18">
        <f>-'Company Analysis'!K19</f>
        <v>-4.1000000000000227</v>
      </c>
    </row>
    <row r="23" spans="1:16">
      <c r="A23" t="s">
        <v>179</v>
      </c>
      <c r="B23" s="18">
        <f>-'Company Analysis'!B20</f>
        <v>0</v>
      </c>
      <c r="C23" s="18">
        <f>-'Company Analysis'!C20</f>
        <v>0</v>
      </c>
      <c r="D23" s="18">
        <f>-'Company Analysis'!D20</f>
        <v>0</v>
      </c>
      <c r="E23" s="18">
        <f>-'Company Analysis'!E20</f>
        <v>0</v>
      </c>
      <c r="F23" s="18">
        <f>-'Company Analysis'!F20</f>
        <v>0</v>
      </c>
      <c r="G23" s="18">
        <f>-'Company Analysis'!G20</f>
        <v>0</v>
      </c>
      <c r="H23" s="18">
        <f>-'Company Analysis'!H20</f>
        <v>-61.5</v>
      </c>
      <c r="I23" s="18">
        <f>-'Company Analysis'!I20</f>
        <v>-356.9</v>
      </c>
      <c r="J23" s="18">
        <f>-'Company Analysis'!J20</f>
        <v>0</v>
      </c>
      <c r="K23" s="18">
        <f>-'Company Analysis'!K20</f>
        <v>0</v>
      </c>
    </row>
    <row r="24" spans="1:16">
      <c r="A24" t="s">
        <v>180</v>
      </c>
      <c r="B24" s="18">
        <f>-'Company Analysis'!B21</f>
        <v>0</v>
      </c>
      <c r="C24" s="18">
        <f>-'Company Analysis'!C21</f>
        <v>0</v>
      </c>
      <c r="D24" s="18">
        <f>-'Company Analysis'!D21</f>
        <v>0</v>
      </c>
      <c r="E24" s="18">
        <f>-'Company Analysis'!E21</f>
        <v>0</v>
      </c>
      <c r="F24" s="18">
        <f>-'Company Analysis'!F21</f>
        <v>0</v>
      </c>
      <c r="G24" s="18">
        <f>-'Company Analysis'!G21</f>
        <v>0</v>
      </c>
      <c r="H24" s="18">
        <f>-'Company Analysis'!H21</f>
        <v>10326</v>
      </c>
      <c r="I24" s="18">
        <f>-'Company Analysis'!I21</f>
        <v>14.5</v>
      </c>
      <c r="J24" s="18">
        <f>-'Company Analysis'!J21</f>
        <v>-2.2000000000000002</v>
      </c>
      <c r="K24" s="18">
        <f>-'Company Analysis'!K21</f>
        <v>0</v>
      </c>
    </row>
    <row r="25" spans="1:16">
      <c r="A25" t="s">
        <v>181</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182</v>
      </c>
      <c r="B26" s="18">
        <f>-'Company Analysis'!B26</f>
        <v>0</v>
      </c>
      <c r="C26" s="18">
        <f>-'Company Analysis'!C26</f>
        <v>0</v>
      </c>
      <c r="D26" s="18">
        <f>-'Company Analysis'!D26</f>
        <v>0</v>
      </c>
      <c r="E26" s="18">
        <f>-'Company Analysis'!E26</f>
        <v>0</v>
      </c>
      <c r="F26" s="18">
        <f>-'Company Analysis'!F26</f>
        <v>0</v>
      </c>
      <c r="G26" s="18">
        <f>-'Company Analysis'!G26</f>
        <v>-6.7396825397000022</v>
      </c>
      <c r="H26" s="18">
        <f>-'Company Analysis'!H26</f>
        <v>18183.827598160002</v>
      </c>
      <c r="I26" s="18">
        <f>-'Company Analysis'!I26</f>
        <v>471.92442380965002</v>
      </c>
      <c r="J26" s="18">
        <f>-'Company Analysis'!J26</f>
        <v>470.89118611175991</v>
      </c>
      <c r="K26" s="18">
        <f>-'Company Analysis'!K26</f>
        <v>266.21800000000002</v>
      </c>
    </row>
    <row r="28" spans="1:16">
      <c r="A28" s="10" t="s">
        <v>73</v>
      </c>
      <c r="B28" s="135">
        <f>B1</f>
        <v>39082</v>
      </c>
      <c r="C28" s="135">
        <f t="shared" ref="C28:P28" si="6">C1</f>
        <v>39447</v>
      </c>
      <c r="D28" s="135">
        <f t="shared" si="6"/>
        <v>39813</v>
      </c>
      <c r="E28" s="135">
        <f t="shared" si="6"/>
        <v>40178</v>
      </c>
      <c r="F28" s="135">
        <f t="shared" si="6"/>
        <v>40543</v>
      </c>
      <c r="G28" s="135">
        <f t="shared" si="6"/>
        <v>40908</v>
      </c>
      <c r="H28" s="135">
        <f t="shared" si="6"/>
        <v>41274</v>
      </c>
      <c r="I28" s="135">
        <f t="shared" si="6"/>
        <v>41639</v>
      </c>
      <c r="J28" s="135">
        <f t="shared" si="6"/>
        <v>42004</v>
      </c>
      <c r="K28" s="135">
        <f t="shared" si="6"/>
        <v>42369</v>
      </c>
      <c r="L28" s="135">
        <f t="shared" si="6"/>
        <v>42734</v>
      </c>
      <c r="M28" s="135">
        <f t="shared" si="6"/>
        <v>43099</v>
      </c>
      <c r="N28" s="135">
        <f t="shared" si="6"/>
        <v>43464</v>
      </c>
      <c r="O28" s="135">
        <f t="shared" si="6"/>
        <v>43829</v>
      </c>
      <c r="P28" s="135">
        <f t="shared" si="6"/>
        <v>44194</v>
      </c>
    </row>
    <row r="29" spans="1:16">
      <c r="A29" t="s">
        <v>183</v>
      </c>
      <c r="B29" s="18">
        <f>'Company Analysis'!B31</f>
        <v>592</v>
      </c>
      <c r="C29" s="18">
        <f>'Company Analysis'!C31</f>
        <v>752.3</v>
      </c>
      <c r="D29" s="18">
        <f>'Company Analysis'!D31</f>
        <v>1017.2</v>
      </c>
      <c r="E29" s="18">
        <f>'Company Analysis'!E31</f>
        <v>1624</v>
      </c>
      <c r="F29" s="18">
        <f>'Company Analysis'!F31</f>
        <v>1997.5</v>
      </c>
      <c r="G29" s="18">
        <f>'Company Analysis'!G31</f>
        <v>2055.4396825396998</v>
      </c>
      <c r="H29" s="18">
        <f>'Company Analysis'!H31</f>
        <v>-23826.92759816</v>
      </c>
      <c r="I29" s="18">
        <f>'Company Analysis'!I31</f>
        <v>4204.9755761903498</v>
      </c>
      <c r="J29" s="18">
        <f>'Company Analysis'!J31</f>
        <v>3643.7088138882395</v>
      </c>
      <c r="K29" s="18">
        <f>'Company Analysis'!K31</f>
        <v>4285.8819999999996</v>
      </c>
    </row>
    <row r="30" spans="1:16">
      <c r="A30" t="s">
        <v>184</v>
      </c>
      <c r="L30" s="18">
        <f>L11*(1-'Valuation Model'!C12)</f>
        <v>0</v>
      </c>
      <c r="M30" s="18">
        <f>M11*(1-'Valuation Model'!D12)</f>
        <v>0</v>
      </c>
      <c r="N30" s="18">
        <f>N11*(1-'Valuation Model'!E12)</f>
        <v>0</v>
      </c>
      <c r="O30" s="18">
        <f>O11*(1-'Valuation Model'!F12)</f>
        <v>0</v>
      </c>
      <c r="P30" s="18">
        <f>P11*(1-'Valuation Model'!G12)</f>
        <v>0</v>
      </c>
    </row>
    <row r="31" spans="1:16">
      <c r="A31" t="s">
        <v>185</v>
      </c>
      <c r="L31" s="18">
        <f>L12*(1-'Valuation Model'!C12)</f>
        <v>0</v>
      </c>
      <c r="M31" s="18">
        <f>M12*(1-'Valuation Model'!D12)</f>
        <v>0</v>
      </c>
      <c r="N31" s="18">
        <f>N12*(1-'Valuation Model'!E12)</f>
        <v>0</v>
      </c>
      <c r="O31" s="18">
        <f>O12*(1-'Valuation Model'!F12)</f>
        <v>0</v>
      </c>
      <c r="P31" s="18">
        <f>P12*(1-'Valuation Model'!G12)</f>
        <v>0</v>
      </c>
    </row>
    <row r="32" spans="1:16">
      <c r="A32" t="s">
        <v>186</v>
      </c>
      <c r="B32" s="20">
        <f t="shared" ref="B32:J32" si="7">B29/B2</f>
        <v>3.3724507234818277E-2</v>
      </c>
      <c r="C32" s="20">
        <f t="shared" si="7"/>
        <v>4.1168680500831799E-2</v>
      </c>
      <c r="D32" s="20">
        <f t="shared" si="7"/>
        <v>4.6282646282646285E-2</v>
      </c>
      <c r="E32" s="20">
        <f t="shared" si="7"/>
        <v>6.5689680976284567E-2</v>
      </c>
      <c r="F32" s="20">
        <f t="shared" si="7"/>
        <v>4.4415340691789783E-2</v>
      </c>
      <c r="G32" s="20">
        <f t="shared" si="7"/>
        <v>4.4559189966673379E-2</v>
      </c>
      <c r="H32" s="20">
        <f t="shared" si="7"/>
        <v>-0.2542507130519035</v>
      </c>
      <c r="I32" s="20">
        <f t="shared" si="7"/>
        <v>4.039408308443853E-2</v>
      </c>
      <c r="J32" s="20">
        <f t="shared" si="7"/>
        <v>3.6116696920500631E-2</v>
      </c>
      <c r="K32" s="20">
        <f>K29/K2</f>
        <v>4.2120945280574883E-2</v>
      </c>
    </row>
    <row r="33" spans="1:16">
      <c r="A33" t="s">
        <v>187</v>
      </c>
      <c r="K33" s="100">
        <f>K32</f>
        <v>4.2120945280574883E-2</v>
      </c>
      <c r="L33" s="136">
        <f>(1-'Valuation Model'!C12)*'Valuation Model'!C10</f>
        <v>0</v>
      </c>
      <c r="M33" s="136">
        <f>(1-'Valuation Model'!D12)*'Valuation Model'!D10</f>
        <v>0</v>
      </c>
      <c r="N33" s="136">
        <f>(1-'Valuation Model'!E12)*'Valuation Model'!E10</f>
        <v>0</v>
      </c>
      <c r="O33" s="136">
        <f>(1-'Valuation Model'!F12)*'Valuation Model'!F10</f>
        <v>0</v>
      </c>
      <c r="P33" s="136">
        <f>(1-'Valuation Model'!G12)*'Valuation Model'!G10</f>
        <v>0</v>
      </c>
    </row>
    <row r="34" spans="1:16">
      <c r="A34" t="s">
        <v>188</v>
      </c>
      <c r="K34" s="100">
        <f>K32</f>
        <v>4.2120945280574883E-2</v>
      </c>
      <c r="L34" s="136">
        <f>(1-'Valuation Model'!C12)*'Valuation Model'!C11</f>
        <v>0</v>
      </c>
      <c r="M34" s="136">
        <f>(1-'Valuation Model'!D12)*'Valuation Model'!D11</f>
        <v>0</v>
      </c>
      <c r="N34" s="136">
        <f>(1-'Valuation Model'!E12)*'Valuation Model'!E11</f>
        <v>0</v>
      </c>
      <c r="O34" s="136">
        <f>(1-'Valuation Model'!F12)*'Valuation Model'!F11</f>
        <v>0</v>
      </c>
      <c r="P34" s="136">
        <f>(1-'Valuation Model'!G12)*'Valuation Model'!G11</f>
        <v>0</v>
      </c>
    </row>
    <row r="36" spans="1:16">
      <c r="A36" s="10" t="s">
        <v>153</v>
      </c>
      <c r="B36" s="135">
        <f>B1</f>
        <v>39082</v>
      </c>
      <c r="C36" s="135">
        <f t="shared" ref="C36:K36" si="8">C1</f>
        <v>39447</v>
      </c>
      <c r="D36" s="135">
        <f t="shared" si="8"/>
        <v>39813</v>
      </c>
      <c r="E36" s="135">
        <f t="shared" si="8"/>
        <v>40178</v>
      </c>
      <c r="F36" s="135">
        <f t="shared" si="8"/>
        <v>40543</v>
      </c>
      <c r="G36" s="135">
        <f t="shared" si="8"/>
        <v>40908</v>
      </c>
      <c r="H36" s="135">
        <f t="shared" si="8"/>
        <v>41274</v>
      </c>
      <c r="I36" s="135">
        <f t="shared" si="8"/>
        <v>41639</v>
      </c>
      <c r="J36" s="135">
        <f t="shared" si="8"/>
        <v>42004</v>
      </c>
      <c r="K36" s="135">
        <f t="shared" si="8"/>
        <v>42369</v>
      </c>
    </row>
    <row r="37" spans="1:16">
      <c r="A37" t="str">
        <f>ticker&amp;" Actual OCP ($, LHS)"</f>
        <v>ESRX Actual OCP ($, LHS)</v>
      </c>
      <c r="B37" s="18">
        <f>B10</f>
        <v>592</v>
      </c>
      <c r="C37" s="18">
        <f t="shared" ref="C37:K37" si="9">C10</f>
        <v>752.3</v>
      </c>
      <c r="D37" s="18">
        <f t="shared" si="9"/>
        <v>1017.2</v>
      </c>
      <c r="E37" s="18">
        <f t="shared" si="9"/>
        <v>1624</v>
      </c>
      <c r="F37" s="18">
        <f t="shared" si="9"/>
        <v>1997.5</v>
      </c>
      <c r="G37" s="18">
        <f t="shared" si="9"/>
        <v>2048.6999999999998</v>
      </c>
      <c r="H37" s="18">
        <f t="shared" si="9"/>
        <v>4621.4000000000005</v>
      </c>
      <c r="I37" s="18">
        <f t="shared" si="9"/>
        <v>4334.5</v>
      </c>
      <c r="J37" s="18">
        <f t="shared" si="9"/>
        <v>4112.3999999999996</v>
      </c>
      <c r="K37" s="18">
        <f t="shared" si="9"/>
        <v>4548</v>
      </c>
    </row>
    <row r="38" spans="1:16">
      <c r="A38" t="str">
        <f>ticker&amp;" OCP if GDP-Growth ($, LHS)"</f>
        <v>ESRX OCP if GDP-Growth ($, LHS)</v>
      </c>
      <c r="B38" s="18">
        <f>B37</f>
        <v>592</v>
      </c>
      <c r="C38" s="18">
        <f>(1+'Company Analysis'!C39)*B38</f>
        <v>618.15700435017493</v>
      </c>
      <c r="D38" s="18">
        <f>(1+'Company Analysis'!D39)*C38</f>
        <v>612.26157914190674</v>
      </c>
      <c r="E38" s="18">
        <f>(1+'Company Analysis'!E39)*D38</f>
        <v>612.96010918085926</v>
      </c>
      <c r="F38" s="18">
        <f>(1+'Company Analysis'!F39)*E38</f>
        <v>640.88868670211264</v>
      </c>
      <c r="G38" s="18">
        <f>(1+'Company Analysis'!G39)*F38</f>
        <v>664.24736288419433</v>
      </c>
      <c r="H38" s="18">
        <f>(1+'Company Analysis'!H39)*G38</f>
        <v>687.27360609593143</v>
      </c>
      <c r="I38" s="18">
        <f>(1+'Company Analysis'!I39)*H38</f>
        <v>718.65696170140188</v>
      </c>
      <c r="J38" s="18">
        <f>(1+'Company Analysis'!J39)*I38</f>
        <v>744.97387051832493</v>
      </c>
      <c r="K38" s="18">
        <f>(1+'Company Analysis'!K39)*J38</f>
        <v>743.34536976486322</v>
      </c>
    </row>
    <row r="39" spans="1:16" ht="16.5">
      <c r="A39" t="str">
        <f>ticker&amp;" - GDP Growth Difference (YoY, %, RHS)"</f>
        <v>ESRX - GDP Growth Difference (YoY, %, RHS)</v>
      </c>
      <c r="B39" s="137"/>
      <c r="C39" s="100">
        <f>'Company Analysis'!C40-'Company Analysis'!C39</f>
        <v>0.22659289805713678</v>
      </c>
      <c r="D39" s="100">
        <f>'Company Analysis'!D40-'Company Analysis'!D39</f>
        <v>0.36165726489593486</v>
      </c>
      <c r="E39" s="100">
        <f>'Company Analysis'!E40-'Company Analysis'!E39</f>
        <v>0.59539861893963475</v>
      </c>
      <c r="F39" s="100">
        <f>'Company Analysis'!F40-'Company Analysis'!F39</f>
        <v>0.18442423434633648</v>
      </c>
      <c r="G39" s="100">
        <f>'Company Analysis'!G40-'Company Analysis'!G39</f>
        <v>-1.0815281718528746E-2</v>
      </c>
      <c r="H39" s="100">
        <f>'Company Analysis'!H40-'Company Analysis'!H39</f>
        <v>1.2211067897876426</v>
      </c>
      <c r="I39" s="100">
        <f>'Company Analysis'!I40-'Company Analysis'!I39</f>
        <v>-0.10774430901261567</v>
      </c>
      <c r="J39" s="100">
        <f>'Company Analysis'!J40-'Company Analysis'!J39</f>
        <v>-8.7859620619076928E-2</v>
      </c>
      <c r="K39" s="100">
        <f>'Company Analysis'!K40-'Company Analysis'!K39</f>
        <v>0.10810953201388485</v>
      </c>
    </row>
    <row r="40" spans="1:16" ht="16.5">
      <c r="A40" t="str">
        <f>ticker&amp;" - GDP Growth Difference (3Y, %, RHS)"</f>
        <v>ESRX - GDP Growth Difference (3Y, %, RHS)</v>
      </c>
      <c r="B40" s="138"/>
      <c r="C40" s="100"/>
      <c r="D40" s="100"/>
      <c r="E40" s="100">
        <f>'Company Analysis'!E42-'Company Analysis'!E41</f>
        <v>0.42550911518800394</v>
      </c>
      <c r="F40" s="100">
        <f>'Company Analysis'!F42-'Company Analysis'!F41</f>
        <v>0.35460525945810284</v>
      </c>
      <c r="G40" s="100">
        <f>'Company Analysis'!G42-'Company Analysis'!G41</f>
        <v>0.19451050694562788</v>
      </c>
      <c r="H40" s="100">
        <f>'Company Analysis'!H42-'Company Analysis'!H41</f>
        <v>0.48987996537466283</v>
      </c>
      <c r="I40" s="100">
        <f>'Company Analysis'!I42-'Company Analysis'!I41</f>
        <v>0.23059253794542323</v>
      </c>
      <c r="J40" s="100">
        <f>'Company Analysis'!J42-'Company Analysis'!J41</f>
        <v>0.14853570801028693</v>
      </c>
      <c r="K40" s="100">
        <f>'Company Analysis'!K42-'Company Analysis'!K41</f>
        <v>-3.1685568549097654E-2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opLeftCell="B1" zoomScale="110" zoomScaleNormal="110" workbookViewId="0">
      <selection activeCell="C5" sqref="C5"/>
    </sheetView>
  </sheetViews>
  <sheetFormatPr defaultColWidth="9.125" defaultRowHeight="15"/>
  <cols>
    <col min="1" max="1" width="4.75" style="78" bestFit="1" customWidth="1"/>
    <col min="2" max="2" width="14.375" style="78" bestFit="1" customWidth="1"/>
    <col min="3" max="3" width="9.25" style="78" bestFit="1" customWidth="1"/>
    <col min="4" max="4" width="12.25" style="78" bestFit="1" customWidth="1"/>
    <col min="5" max="7" width="12.25" style="78" customWidth="1"/>
    <col min="8" max="8" width="16.125" style="78" bestFit="1" customWidth="1"/>
    <col min="9" max="10" width="12.25" style="78" customWidth="1"/>
    <col min="11" max="11" width="10.875" style="78" bestFit="1" customWidth="1"/>
    <col min="12" max="12" width="10.625" style="78" bestFit="1" customWidth="1"/>
    <col min="13" max="14" width="9.125" style="78"/>
    <col min="15" max="15" width="13.875" style="78" bestFit="1" customWidth="1"/>
    <col min="16" max="16384" width="9.125" style="78"/>
  </cols>
  <sheetData>
    <row r="1" spans="1:15">
      <c r="A1" s="78" t="s">
        <v>100</v>
      </c>
      <c r="B1" s="79">
        <f ca="1">MAX(C5:C12)+10</f>
        <v>10</v>
      </c>
      <c r="D1" s="78" t="s">
        <v>101</v>
      </c>
      <c r="E1" s="78">
        <v>5</v>
      </c>
    </row>
    <row r="2" spans="1:15">
      <c r="A2" s="78" t="s">
        <v>102</v>
      </c>
      <c r="B2" s="79">
        <f ca="1">MIN(C5:C12)-10</f>
        <v>-10</v>
      </c>
    </row>
    <row r="4" spans="1:15" s="80" customFormat="1" ht="12">
      <c r="B4" s="81" t="s">
        <v>103</v>
      </c>
      <c r="C4" s="82" t="s">
        <v>104</v>
      </c>
      <c r="D4" s="80" t="s">
        <v>105</v>
      </c>
      <c r="E4" s="80" t="s">
        <v>106</v>
      </c>
      <c r="F4" s="80" t="s">
        <v>107</v>
      </c>
      <c r="G4" s="80" t="s">
        <v>108</v>
      </c>
      <c r="H4" s="80" t="s">
        <v>109</v>
      </c>
      <c r="J4" s="80" t="s">
        <v>110</v>
      </c>
      <c r="K4" s="80" t="s">
        <v>111</v>
      </c>
      <c r="L4" s="80" t="s">
        <v>56</v>
      </c>
      <c r="M4" s="80" t="s">
        <v>112</v>
      </c>
      <c r="N4" s="80" t="s">
        <v>113</v>
      </c>
      <c r="O4" s="80" t="s">
        <v>114</v>
      </c>
    </row>
    <row r="5" spans="1:15" s="80" customFormat="1" ht="12">
      <c r="A5" s="83"/>
      <c r="B5" s="89" t="e">
        <f>'Valuation Model'!I2</f>
        <v>#DIV/0!</v>
      </c>
      <c r="C5" s="90">
        <f ca="1">'Valuation Model'!K2</f>
        <v>0</v>
      </c>
      <c r="D5" s="85" t="e">
        <f t="shared" ref="D5:D12" ca="1" si="0">IF(ABS(INDEX($K$6:$K$55,MATCH(C5,$K$6:$K$55,1)+IF(C5&gt;=MAX($K$6:$K$55),0,1),1)-C5)&lt;ABS(INDEX($K$6:$K$55,MATCH(C5,$K$6:$K$55,1))-C5),INDEX($K$6:$K$55,MATCH(C5,$K$6:$K$55,1)+IF(C5&gt;=MAX($K$6:$K$55),0,1),1),INDEX($K$6:$K$55,MATCH(C5,$K$6:$K$55,1)))</f>
        <v>#N/A</v>
      </c>
      <c r="E5" s="86">
        <f>IF(H5="N",5%/COUNTIF('Valuation Model'!$L$2:$L$9,"No"),IF(G5&lt;&gt;"Y",50%/(COUNTIF('Valuation Model'!$L$2:$L$9,"Yes")-COUNTIF(G$5:G$12,"Y")),45%/(COUNTIF(G$5:G$12,"Y"))))</f>
        <v>6.25E-2</v>
      </c>
      <c r="F5" s="80" t="s">
        <v>51</v>
      </c>
      <c r="G5" s="80" t="str">
        <f>IF(LEFT('Valuation Model'!L2,1)="M","Y","")</f>
        <v/>
      </c>
      <c r="H5" s="80" t="str">
        <f>IF(LEFT('Valuation Model'!L2,1)="M","Y",LEFT('Valuation Model'!L2,1))</f>
        <v>Y</v>
      </c>
      <c r="J5" s="87">
        <v>0</v>
      </c>
      <c r="K5" s="85">
        <f t="shared" ref="K5:K55" ca="1" si="1">$B$1*J5</f>
        <v>0</v>
      </c>
      <c r="L5" s="88" t="str">
        <f t="shared" ref="L5:L55" ca="1" si="2">IFERROR(IF(VLOOKUP(K5,$D$5:$F$16,3,FALSE)="Scenario",IF(VLOOKUP(K5,$D$5:$H$16,5,FALSE)="Y",VLOOKUP(K5,$D$5:$E$16,2,0),""),IF(VLOOKUP(K5,$D$5:$F$16,3,FALSE)&lt;&gt;"Scenario","")),"")</f>
        <v/>
      </c>
      <c r="M5" s="86" t="str">
        <f t="shared" ref="M5:M55" ca="1" si="3">IFERROR(IF(VLOOKUP(K5,$D$5:$F$16,3,FALSE)="Scenario",IF(VLOOKUP(K5,$D$5:$H$16,5,FALSE)="N",VLOOKUP(K5,$D$5:$E$16,2,0),""),IF(VLOOKUP(K5,$D$5:$F$16,3,FALSE)&lt;&gt;"Scenario","")),"")</f>
        <v/>
      </c>
      <c r="N5" s="85">
        <f ca="1">LN('Histogram Data'!K5+0.01)-LN(price)</f>
        <v>-8.8818363050041462</v>
      </c>
      <c r="O5" s="85">
        <f ca="1">_xlfn.NORM.DIST(N5,0+0.03^3,AVERAGE('Valuation Model'!$K$22:$L$22),FALSE)/scaling</f>
        <v>7.5343673854499541E-269</v>
      </c>
    </row>
    <row r="6" spans="1:15" s="80" customFormat="1" ht="12">
      <c r="A6" s="83"/>
      <c r="B6" s="89" t="e">
        <f>'Valuation Model'!I3</f>
        <v>#DIV/0!</v>
      </c>
      <c r="C6" s="90">
        <f ca="1">'Valuation Model'!K3</f>
        <v>0</v>
      </c>
      <c r="D6" s="85" t="e">
        <f t="shared" ca="1" si="0"/>
        <v>#N/A</v>
      </c>
      <c r="E6" s="86">
        <f>IF(H6="N",5%/COUNTIF('Valuation Model'!$L$2:$L$9,"No"),IF(G6&lt;&gt;"Y",50%/(COUNTIF('Valuation Model'!$L$2:$L$9,"Yes")-COUNTIF(G$5:G$12,"Y")),45%/(COUNTIF(G$5:G$12,"Y"))))</f>
        <v>6.25E-2</v>
      </c>
      <c r="F6" s="80" t="s">
        <v>51</v>
      </c>
      <c r="G6" s="80" t="str">
        <f>IF(LEFT('Valuation Model'!L6,1)="M","Y","")</f>
        <v/>
      </c>
      <c r="H6" s="80" t="str">
        <f>IF(LEFT('Valuation Model'!L3,1)="M","Y",LEFT('Valuation Model'!L3,1))</f>
        <v>Y</v>
      </c>
      <c r="J6" s="87">
        <v>0.02</v>
      </c>
      <c r="K6" s="85">
        <f t="shared" ca="1" si="1"/>
        <v>0.2</v>
      </c>
      <c r="L6" s="88" t="str">
        <f t="shared" ca="1" si="2"/>
        <v/>
      </c>
      <c r="M6" s="86" t="str">
        <f t="shared" ca="1" si="3"/>
        <v/>
      </c>
      <c r="N6" s="85">
        <f ca="1">LN('Histogram Data'!K6+0.01)-LN(price)</f>
        <v>-5.8373138672807237</v>
      </c>
      <c r="O6" s="85">
        <f ca="1">_xlfn.NORM.DIST(N6,0+0.03^3,AVERAGE('Valuation Model'!$K$22:$L$22),FALSE)/scaling</f>
        <v>7.9921994464558957E-117</v>
      </c>
    </row>
    <row r="7" spans="1:15" s="80" customFormat="1" ht="12">
      <c r="A7" s="83"/>
      <c r="B7" s="89" t="e">
        <f>'Valuation Model'!I6</f>
        <v>#DIV/0!</v>
      </c>
      <c r="C7" s="90">
        <f ca="1">'Valuation Model'!K6</f>
        <v>0</v>
      </c>
      <c r="D7" s="85" t="e">
        <f t="shared" ca="1" si="0"/>
        <v>#N/A</v>
      </c>
      <c r="E7" s="86">
        <f>IF(H7="N",5%/COUNTIF('Valuation Model'!$L$2:$L$9,"No"),IF(G7&lt;&gt;"Y",50%/(COUNTIF('Valuation Model'!$L$2:$L$9,"Yes")-COUNTIF(G$5:G$12,"Y")),45%/(COUNTIF(G$5:G$12,"Y"))))</f>
        <v>6.25E-2</v>
      </c>
      <c r="F7" s="80" t="s">
        <v>51</v>
      </c>
      <c r="G7" s="80" t="str">
        <f>IF(LEFT('Valuation Model'!L3,1)="M","Y","")</f>
        <v/>
      </c>
      <c r="H7" s="80" t="str">
        <f>IF(LEFT('Valuation Model'!L6,1)="M","Y",LEFT('Valuation Model'!L6,1))</f>
        <v>Y</v>
      </c>
      <c r="J7" s="87">
        <f>J6+2%</f>
        <v>0.04</v>
      </c>
      <c r="K7" s="85">
        <f t="shared" ca="1" si="1"/>
        <v>0.4</v>
      </c>
      <c r="L7" s="88" t="str">
        <f t="shared" ca="1" si="2"/>
        <v/>
      </c>
      <c r="M7" s="86" t="str">
        <f t="shared" ca="1" si="3"/>
        <v/>
      </c>
      <c r="N7" s="85">
        <f ca="1">LN('Histogram Data'!K7+0.01)-LN(price)</f>
        <v>-5.1682642382998392</v>
      </c>
      <c r="O7" s="85">
        <f ca="1">_xlfn.NORM.DIST(N7,0+0.03^3,AVERAGE('Valuation Model'!$K$22:$L$22),FALSE)/scaling</f>
        <v>7.6265948174794315E-92</v>
      </c>
    </row>
    <row r="8" spans="1:15" s="80" customFormat="1" ht="12">
      <c r="A8" s="83"/>
      <c r="B8" s="89" t="e">
        <f>'Valuation Model'!I7</f>
        <v>#DIV/0!</v>
      </c>
      <c r="C8" s="90">
        <f ca="1">'Valuation Model'!K7</f>
        <v>0</v>
      </c>
      <c r="D8" s="85" t="e">
        <f t="shared" ca="1" si="0"/>
        <v>#N/A</v>
      </c>
      <c r="E8" s="86">
        <f>IF(H8="N",5%/COUNTIF('Valuation Model'!$L$2:$L$9,"No"),IF(G8&lt;&gt;"Y",50%/(COUNTIF('Valuation Model'!$L$2:$L$9,"Yes")-COUNTIF(G$5:G$12,"Y")),45%/(COUNTIF(G$5:G$12,"Y"))))</f>
        <v>6.25E-2</v>
      </c>
      <c r="F8" s="80" t="s">
        <v>51</v>
      </c>
      <c r="G8" s="80" t="str">
        <f>IF(LEFT('Valuation Model'!L7,1)="M","Y","")</f>
        <v/>
      </c>
      <c r="H8" s="80" t="str">
        <f>IF(LEFT('Valuation Model'!L7,1)="M","Y",LEFT('Valuation Model'!L7,1))</f>
        <v>Y</v>
      </c>
      <c r="J8" s="87">
        <f t="shared" ref="J8:J55" si="4">J7+2%</f>
        <v>0.06</v>
      </c>
      <c r="K8" s="85">
        <f t="shared" ca="1" si="1"/>
        <v>0.6</v>
      </c>
      <c r="L8" s="88" t="str">
        <f t="shared" ca="1" si="2"/>
        <v/>
      </c>
      <c r="M8" s="86" t="str">
        <f t="shared" ca="1" si="3"/>
        <v/>
      </c>
      <c r="N8" s="85">
        <f ca="1">LN('Histogram Data'!K8+0.01)-LN(price)</f>
        <v>-4.7709624408308358</v>
      </c>
      <c r="O8" s="85">
        <f ca="1">_xlfn.NORM.DIST(N8,0+0.03^3,AVERAGE('Valuation Model'!$K$22:$L$22),FALSE)/scaling</f>
        <v>1.8999876298526262E-78</v>
      </c>
    </row>
    <row r="9" spans="1:15" s="80" customFormat="1" ht="12">
      <c r="A9" s="83"/>
      <c r="B9" s="89" t="e">
        <f>'Valuation Model'!I4</f>
        <v>#DIV/0!</v>
      </c>
      <c r="C9" s="90">
        <f ca="1">'Valuation Model'!K4</f>
        <v>0</v>
      </c>
      <c r="D9" s="85" t="e">
        <f t="shared" ca="1" si="0"/>
        <v>#N/A</v>
      </c>
      <c r="E9" s="86">
        <f>IF(H9="N",5%/COUNTIF('Valuation Model'!$L$2:$L$9,"No"),IF(G9&lt;&gt;"Y",50%/(COUNTIF('Valuation Model'!$L$2:$L$9,"Yes")-COUNTIF(G$5:G$12,"Y")),45%/(COUNTIF(G$5:G$12,"Y"))))</f>
        <v>6.25E-2</v>
      </c>
      <c r="F9" s="80" t="s">
        <v>51</v>
      </c>
      <c r="G9" s="80" t="str">
        <f>IF(LEFT('Valuation Model'!L4,1)="M","Y","")</f>
        <v/>
      </c>
      <c r="H9" s="80" t="str">
        <f>IF(LEFT('Valuation Model'!L4,1)="M","Y",LEFT('Valuation Model'!L4,1))</f>
        <v>Y</v>
      </c>
      <c r="J9" s="87">
        <f t="shared" si="4"/>
        <v>0.08</v>
      </c>
      <c r="K9" s="85">
        <f t="shared" ca="1" si="1"/>
        <v>0.8</v>
      </c>
      <c r="L9" s="88" t="str">
        <f t="shared" ca="1" si="2"/>
        <v/>
      </c>
      <c r="M9" s="86" t="str">
        <f t="shared" ca="1" si="3"/>
        <v/>
      </c>
      <c r="N9" s="85">
        <f ca="1">LN('Histogram Data'!K9+0.01)-LN(price)</f>
        <v>-4.487387150331708</v>
      </c>
      <c r="O9" s="85">
        <f ca="1">_xlfn.NORM.DIST(N9,0+0.03^3,AVERAGE('Valuation Model'!$K$22:$L$22),FALSE)/scaling</f>
        <v>1.5327457281497493E-69</v>
      </c>
    </row>
    <row r="10" spans="1:15" s="80" customFormat="1" ht="12">
      <c r="A10" s="83"/>
      <c r="B10" s="89" t="e">
        <f>'Valuation Model'!I5</f>
        <v>#DIV/0!</v>
      </c>
      <c r="C10" s="90">
        <f ca="1">'Valuation Model'!K5</f>
        <v>0</v>
      </c>
      <c r="D10" s="85" t="e">
        <f t="shared" ca="1" si="0"/>
        <v>#N/A</v>
      </c>
      <c r="E10" s="86">
        <f>IF(H10="N",5%/COUNTIF('Valuation Model'!$L$2:$L$9,"No"),IF(G10&lt;&gt;"Y",50%/(COUNTIF('Valuation Model'!$L$2:$L$9,"Yes")-COUNTIF(G$5:G$12,"Y")),45%/(COUNTIF(G$5:G$12,"Y"))))</f>
        <v>6.25E-2</v>
      </c>
      <c r="F10" s="80" t="s">
        <v>51</v>
      </c>
      <c r="G10" s="80" t="str">
        <f>IF(LEFT('Valuation Model'!L8,1)="M","Y","")</f>
        <v/>
      </c>
      <c r="H10" s="80" t="str">
        <f>IF(LEFT('Valuation Model'!L5,1)="M","Y",LEFT('Valuation Model'!L5,1))</f>
        <v>Y</v>
      </c>
      <c r="J10" s="87">
        <f t="shared" si="4"/>
        <v>0.1</v>
      </c>
      <c r="K10" s="85">
        <f t="shared" ca="1" si="1"/>
        <v>1</v>
      </c>
      <c r="L10" s="88" t="str">
        <f t="shared" ca="1" si="2"/>
        <v/>
      </c>
      <c r="M10" s="86" t="str">
        <f t="shared" ca="1" si="3"/>
        <v/>
      </c>
      <c r="N10" s="85">
        <f ca="1">LN('Histogram Data'!K10+0.01)-LN(price)</f>
        <v>-4.2667157881628874</v>
      </c>
      <c r="O10" s="85">
        <f ca="1">_xlfn.NORM.DIST(N10,0+0.03^3,AVERAGE('Valuation Model'!$K$22:$L$22),FALSE)/scaling</f>
        <v>5.4824444596229293E-63</v>
      </c>
    </row>
    <row r="11" spans="1:15" s="80" customFormat="1" ht="12">
      <c r="A11" s="83"/>
      <c r="B11" s="89" t="e">
        <f>'Valuation Model'!I8</f>
        <v>#DIV/0!</v>
      </c>
      <c r="C11" s="90">
        <f ca="1">'Valuation Model'!K8</f>
        <v>0</v>
      </c>
      <c r="D11" s="85" t="e">
        <f t="shared" ca="1" si="0"/>
        <v>#N/A</v>
      </c>
      <c r="E11" s="86">
        <f>IF(H11="N",5%/COUNTIF('Valuation Model'!$L$2:$L$9,"No"),IF(G11&lt;&gt;"Y",50%/(COUNTIF('Valuation Model'!$L$2:$L$9,"Yes")-COUNTIF(G$5:G$12,"Y")),45%/(COUNTIF(G$5:G$12,"Y"))))</f>
        <v>6.25E-2</v>
      </c>
      <c r="F11" s="80" t="s">
        <v>51</v>
      </c>
      <c r="G11" s="80" t="str">
        <f>IF(LEFT('Valuation Model'!L5,1)="M","Y","")</f>
        <v/>
      </c>
      <c r="H11" s="80" t="str">
        <f>IF(LEFT('Valuation Model'!L8,1)="M","Y",LEFT('Valuation Model'!L8,1))</f>
        <v>Y</v>
      </c>
      <c r="J11" s="87">
        <f t="shared" si="4"/>
        <v>0.12000000000000001</v>
      </c>
      <c r="K11" s="85">
        <f t="shared" ca="1" si="1"/>
        <v>1.2000000000000002</v>
      </c>
      <c r="L11" s="88" t="str">
        <f t="shared" ca="1" si="2"/>
        <v/>
      </c>
      <c r="M11" s="86" t="str">
        <f t="shared" ca="1" si="3"/>
        <v/>
      </c>
      <c r="N11" s="85">
        <f ca="1">LN('Histogram Data'!K11+0.01)-LN(price)</f>
        <v>-4.0860457594074058</v>
      </c>
      <c r="O11" s="85">
        <f ca="1">_xlfn.NORM.DIST(N11,0+0.03^3,AVERAGE('Valuation Model'!$K$22:$L$22),FALSE)/scaling</f>
        <v>7.2198804710522151E-58</v>
      </c>
    </row>
    <row r="12" spans="1:15" s="80" customFormat="1" ht="12">
      <c r="A12" s="83"/>
      <c r="B12" s="89" t="e">
        <f>'Valuation Model'!I9</f>
        <v>#DIV/0!</v>
      </c>
      <c r="C12" s="90">
        <f ca="1">'Valuation Model'!K9</f>
        <v>0</v>
      </c>
      <c r="D12" s="85" t="e">
        <f t="shared" ca="1" si="0"/>
        <v>#N/A</v>
      </c>
      <c r="E12" s="86">
        <f>IF(H12="N",5%/COUNTIF('Valuation Model'!$L$2:$L$9,"No"),IF(G12&lt;&gt;"Y",50%/(COUNTIF('Valuation Model'!$L$2:$L$9,"Yes")-COUNTIF(G$5:G$12,"Y")),45%/(COUNTIF(G$5:G$12,"Y"))))</f>
        <v>6.25E-2</v>
      </c>
      <c r="F12" s="80" t="s">
        <v>51</v>
      </c>
      <c r="G12" s="80" t="str">
        <f>IF(LEFT('Valuation Model'!L9,1)="M","Y","")</f>
        <v/>
      </c>
      <c r="H12" s="80" t="str">
        <f>IF(LEFT('Valuation Model'!L9,1)="M","Y",LEFT('Valuation Model'!L9,1))</f>
        <v>Y</v>
      </c>
      <c r="J12" s="87">
        <f t="shared" si="4"/>
        <v>0.14000000000000001</v>
      </c>
      <c r="K12" s="85">
        <f t="shared" ca="1" si="1"/>
        <v>1.4000000000000001</v>
      </c>
      <c r="L12" s="88" t="str">
        <f t="shared" ca="1" si="2"/>
        <v/>
      </c>
      <c r="M12" s="86" t="str">
        <f t="shared" ca="1" si="3"/>
        <v/>
      </c>
      <c r="N12" s="85">
        <f ca="1">LN('Histogram Data'!K12+0.01)-LN(price)</f>
        <v>-3.9330764146259782</v>
      </c>
      <c r="O12" s="85">
        <f ca="1">_xlfn.NORM.DIST(N12,0+0.03^3,AVERAGE('Valuation Model'!$K$22:$L$22),FALSE)/scaling</f>
        <v>1.0471439588959648E-53</v>
      </c>
    </row>
    <row r="13" spans="1:15" s="80" customFormat="1" ht="12">
      <c r="A13" s="83"/>
      <c r="J13" s="87">
        <f t="shared" si="4"/>
        <v>0.16</v>
      </c>
      <c r="K13" s="85">
        <f t="shared" ca="1" si="1"/>
        <v>1.6</v>
      </c>
      <c r="L13" s="88" t="str">
        <f t="shared" ca="1" si="2"/>
        <v/>
      </c>
      <c r="M13" s="86" t="str">
        <f t="shared" ca="1" si="3"/>
        <v/>
      </c>
      <c r="N13" s="85">
        <f ca="1">LN('Histogram Data'!K13+0.01)-LN(price)</f>
        <v>-3.8004319400196835</v>
      </c>
      <c r="O13" s="85">
        <f ca="1">_xlfn.NORM.DIST(N13,0+0.03^3,AVERAGE('Valuation Model'!$K$22:$L$22),FALSE)/scaling</f>
        <v>3.1624866857701766E-50</v>
      </c>
    </row>
    <row r="14" spans="1:15" s="80" customFormat="1" ht="12">
      <c r="A14" s="83"/>
      <c r="J14" s="87">
        <f t="shared" si="4"/>
        <v>0.18</v>
      </c>
      <c r="K14" s="85">
        <f t="shared" ca="1" si="1"/>
        <v>1.7999999999999998</v>
      </c>
      <c r="L14" s="88" t="str">
        <f t="shared" ca="1" si="2"/>
        <v/>
      </c>
      <c r="M14" s="86" t="str">
        <f t="shared" ca="1" si="3"/>
        <v/>
      </c>
      <c r="N14" s="85">
        <f ca="1">LN('Histogram Data'!K14+0.01)-LN(price)</f>
        <v>-3.683339273738321</v>
      </c>
      <c r="O14" s="85">
        <f ca="1">_xlfn.NORM.DIST(N14,0+0.03^3,AVERAGE('Valuation Model'!$K$22:$L$22),FALSE)/scaling</f>
        <v>2.9705368880393143E-47</v>
      </c>
    </row>
    <row r="15" spans="1:15" s="80" customFormat="1" ht="12">
      <c r="A15" s="83"/>
      <c r="J15" s="87">
        <f t="shared" si="4"/>
        <v>0.19999999999999998</v>
      </c>
      <c r="K15" s="85">
        <f t="shared" ca="1" si="1"/>
        <v>1.9999999999999998</v>
      </c>
      <c r="L15" s="88" t="str">
        <f t="shared" ca="1" si="2"/>
        <v/>
      </c>
      <c r="M15" s="86" t="str">
        <f t="shared" ca="1" si="3"/>
        <v/>
      </c>
      <c r="N15" s="85">
        <f ca="1">LN('Histogram Data'!K15+0.01)-LN(price)</f>
        <v>-3.5785313969450709</v>
      </c>
      <c r="O15" s="85">
        <f ca="1">_xlfn.NORM.DIST(N15,0+0.03^3,AVERAGE('Valuation Model'!$K$22:$L$22),FALSE)/scaling</f>
        <v>1.134621452025038E-44</v>
      </c>
    </row>
    <row r="16" spans="1:15" s="80" customFormat="1" ht="12">
      <c r="A16" s="83"/>
      <c r="C16" s="84"/>
      <c r="D16" s="85"/>
      <c r="E16" s="86"/>
      <c r="J16" s="87">
        <f t="shared" si="4"/>
        <v>0.21999999999999997</v>
      </c>
      <c r="K16" s="85">
        <f t="shared" ca="1" si="1"/>
        <v>2.1999999999999997</v>
      </c>
      <c r="L16" s="88" t="str">
        <f t="shared" ca="1" si="2"/>
        <v/>
      </c>
      <c r="M16" s="86" t="str">
        <f t="shared" ca="1" si="3"/>
        <v/>
      </c>
      <c r="N16" s="85">
        <f ca="1">LN('Histogram Data'!K16+0.01)-LN(price)</f>
        <v>-3.4836736034863942</v>
      </c>
      <c r="O16" s="85">
        <f ca="1">_xlfn.NORM.DIST(N16,0+0.03^3,AVERAGE('Valuation Model'!$K$22:$L$22),FALSE)/scaling</f>
        <v>2.1256279562031872E-42</v>
      </c>
    </row>
    <row r="17" spans="4:15" s="80" customFormat="1" ht="12">
      <c r="J17" s="87">
        <f t="shared" si="4"/>
        <v>0.23999999999999996</v>
      </c>
      <c r="K17" s="85">
        <f t="shared" ca="1" si="1"/>
        <v>2.3999999999999995</v>
      </c>
      <c r="L17" s="88" t="str">
        <f t="shared" ca="1" si="2"/>
        <v/>
      </c>
      <c r="M17" s="86" t="str">
        <f t="shared" ca="1" si="3"/>
        <v/>
      </c>
      <c r="N17" s="85">
        <f ca="1">LN('Histogram Data'!K17+0.01)-LN(price)</f>
        <v>-3.3970393715134919</v>
      </c>
      <c r="O17" s="85">
        <f ca="1">_xlfn.NORM.DIST(N17,0+0.03^3,AVERAGE('Valuation Model'!$K$22:$L$22),FALSE)/scaling</f>
        <v>2.2374824953724299E-40</v>
      </c>
    </row>
    <row r="18" spans="4:15" s="80" customFormat="1" ht="12">
      <c r="D18" s="87"/>
      <c r="J18" s="87">
        <f t="shared" si="4"/>
        <v>0.25999999999999995</v>
      </c>
      <c r="K18" s="85">
        <f t="shared" ca="1" si="1"/>
        <v>2.5999999999999996</v>
      </c>
      <c r="L18" s="88" t="str">
        <f t="shared" ca="1" si="2"/>
        <v/>
      </c>
      <c r="M18" s="86" t="str">
        <f t="shared" ca="1" si="3"/>
        <v/>
      </c>
      <c r="N18" s="85">
        <f ca="1">LN('Histogram Data'!K18+0.01)-LN(price)</f>
        <v>-3.3173158976814534</v>
      </c>
      <c r="O18" s="85">
        <f ca="1">_xlfn.NORM.DIST(N18,0+0.03^3,AVERAGE('Valuation Model'!$K$22:$L$22),FALSE)/scaling</f>
        <v>1.4646164483328901E-38</v>
      </c>
    </row>
    <row r="19" spans="4:15" s="80" customFormat="1" ht="12">
      <c r="D19" s="91"/>
      <c r="J19" s="87">
        <f t="shared" si="4"/>
        <v>0.27999999999999997</v>
      </c>
      <c r="K19" s="85">
        <f t="shared" ca="1" si="1"/>
        <v>2.8</v>
      </c>
      <c r="L19" s="88" t="str">
        <f t="shared" ca="1" si="2"/>
        <v/>
      </c>
      <c r="M19" s="86" t="str">
        <f t="shared" ca="1" si="3"/>
        <v/>
      </c>
      <c r="N19" s="85">
        <f ca="1">LN('Histogram Data'!K19+0.01)-LN(price)</f>
        <v>-3.2434816356704008</v>
      </c>
      <c r="O19" s="85">
        <f ca="1">_xlfn.NORM.DIST(N19,0+0.03^3,AVERAGE('Valuation Model'!$K$22:$L$22),FALSE)/scaling</f>
        <v>6.4428649119819258E-37</v>
      </c>
    </row>
    <row r="20" spans="4:15" s="80" customFormat="1" ht="12">
      <c r="J20" s="87">
        <f t="shared" si="4"/>
        <v>0.3</v>
      </c>
      <c r="K20" s="85">
        <f t="shared" ca="1" si="1"/>
        <v>3</v>
      </c>
      <c r="L20" s="88" t="str">
        <f t="shared" ca="1" si="2"/>
        <v/>
      </c>
      <c r="M20" s="86" t="str">
        <f t="shared" ca="1" si="3"/>
        <v/>
      </c>
      <c r="N20" s="85">
        <f ca="1">LN('Histogram Data'!K20+0.01)-LN(price)</f>
        <v>-3.1747260402552708</v>
      </c>
      <c r="O20" s="85">
        <f ca="1">_xlfn.NORM.DIST(N20,0+0.03^3,AVERAGE('Valuation Model'!$K$22:$L$22),FALSE)/scaling</f>
        <v>2.0236593960122845E-35</v>
      </c>
    </row>
    <row r="21" spans="4:15" s="80" customFormat="1" ht="12">
      <c r="J21" s="87">
        <f t="shared" si="4"/>
        <v>0.32</v>
      </c>
      <c r="K21" s="85">
        <f t="shared" ca="1" si="1"/>
        <v>3.2</v>
      </c>
      <c r="L21" s="88" t="str">
        <f t="shared" ca="1" si="2"/>
        <v/>
      </c>
      <c r="M21" s="86" t="str">
        <f t="shared" ca="1" si="3"/>
        <v/>
      </c>
      <c r="N21" s="85">
        <f ca="1">LN('Histogram Data'!K21+0.01)-LN(price)</f>
        <v>-3.1103951818741309</v>
      </c>
      <c r="O21" s="85">
        <f ca="1">_xlfn.NORM.DIST(N21,0+0.03^3,AVERAGE('Valuation Model'!$K$22:$L$22),FALSE)/scaling</f>
        <v>4.7622104494910245E-34</v>
      </c>
    </row>
    <row r="22" spans="4:15" s="80" customFormat="1" ht="12">
      <c r="J22" s="87">
        <f t="shared" si="4"/>
        <v>0.34</v>
      </c>
      <c r="K22" s="85">
        <f t="shared" ca="1" si="1"/>
        <v>3.4000000000000004</v>
      </c>
      <c r="L22" s="88" t="str">
        <f t="shared" ca="1" si="2"/>
        <v/>
      </c>
      <c r="M22" s="86" t="str">
        <f t="shared" ca="1" si="3"/>
        <v/>
      </c>
      <c r="N22" s="85">
        <f ca="1">LN('Histogram Data'!K22+0.01)-LN(price)</f>
        <v>-3.0499538277206302</v>
      </c>
      <c r="O22" s="85">
        <f ca="1">_xlfn.NORM.DIST(N22,0+0.03^3,AVERAGE('Valuation Model'!$K$22:$L$22),FALSE)/scaling</f>
        <v>8.7289780903589584E-33</v>
      </c>
    </row>
    <row r="23" spans="4:15" s="80" customFormat="1" ht="12">
      <c r="J23" s="87">
        <f t="shared" si="4"/>
        <v>0.36000000000000004</v>
      </c>
      <c r="K23" s="85">
        <f t="shared" ca="1" si="1"/>
        <v>3.6000000000000005</v>
      </c>
      <c r="L23" s="88" t="str">
        <f t="shared" ca="1" si="2"/>
        <v/>
      </c>
      <c r="M23" s="86" t="str">
        <f t="shared" ca="1" si="3"/>
        <v/>
      </c>
      <c r="N23" s="85">
        <f ca="1">LN('Histogram Data'!K23+0.01)-LN(price)</f>
        <v>-2.9929583466712657</v>
      </c>
      <c r="O23" s="85">
        <f ca="1">_xlfn.NORM.DIST(N23,0+0.03^3,AVERAGE('Valuation Model'!$K$22:$L$22),FALSE)/scaling</f>
        <v>1.2864607096345418E-31</v>
      </c>
    </row>
    <row r="24" spans="4:15" s="80" customFormat="1" ht="12">
      <c r="J24" s="87">
        <f t="shared" si="4"/>
        <v>0.38000000000000006</v>
      </c>
      <c r="K24" s="85">
        <f t="shared" ca="1" si="1"/>
        <v>3.8000000000000007</v>
      </c>
      <c r="L24" s="88" t="str">
        <f t="shared" ca="1" si="2"/>
        <v/>
      </c>
      <c r="M24" s="86" t="str">
        <f t="shared" ca="1" si="3"/>
        <v/>
      </c>
      <c r="N24" s="85">
        <f ca="1">LN('Histogram Data'!K24+0.01)-LN(price)</f>
        <v>-2.9390369298774459</v>
      </c>
      <c r="O24" s="85">
        <f ca="1">_xlfn.NORM.DIST(N24,0+0.03^3,AVERAGE('Valuation Model'!$K$22:$L$22),FALSE)/scaling</f>
        <v>1.5650218293692926E-30</v>
      </c>
    </row>
    <row r="25" spans="4:15" s="80" customFormat="1" ht="12">
      <c r="J25" s="87">
        <f t="shared" si="4"/>
        <v>0.40000000000000008</v>
      </c>
      <c r="K25" s="85">
        <f t="shared" ca="1" si="1"/>
        <v>4.0000000000000009</v>
      </c>
      <c r="L25" s="88" t="str">
        <f t="shared" ca="1" si="2"/>
        <v/>
      </c>
      <c r="M25" s="86" t="str">
        <f t="shared" ca="1" si="3"/>
        <v/>
      </c>
      <c r="N25" s="85">
        <f ca="1">LN('Histogram Data'!K25+0.01)-LN(price)</f>
        <v>-2.8878748776975773</v>
      </c>
      <c r="O25" s="85">
        <f ca="1">_xlfn.NORM.DIST(N25,0+0.03^3,AVERAGE('Valuation Model'!$K$22:$L$22),FALSE)/scaling</f>
        <v>1.6064809147488436E-29</v>
      </c>
    </row>
    <row r="26" spans="4:15" s="80" customFormat="1" ht="12">
      <c r="J26" s="87">
        <f t="shared" si="4"/>
        <v>0.4200000000000001</v>
      </c>
      <c r="K26" s="85">
        <f t="shared" ca="1" si="1"/>
        <v>4.2000000000000011</v>
      </c>
      <c r="L26" s="88" t="str">
        <f t="shared" ca="1" si="2"/>
        <v/>
      </c>
      <c r="M26" s="86" t="str">
        <f t="shared" ca="1" si="3"/>
        <v/>
      </c>
      <c r="N26" s="85">
        <f ca="1">LN('Histogram Data'!K26+0.01)-LN(price)</f>
        <v>-2.8392034713217651</v>
      </c>
      <c r="O26" s="85">
        <f ca="1">_xlfn.NORM.DIST(N26,0+0.03^3,AVERAGE('Valuation Model'!$K$22:$L$22),FALSE)/scaling</f>
        <v>1.417465252881128E-28</v>
      </c>
    </row>
    <row r="27" spans="4:15" s="80" customFormat="1" ht="12">
      <c r="J27" s="87">
        <f t="shared" si="4"/>
        <v>0.44000000000000011</v>
      </c>
      <c r="K27" s="85">
        <f t="shared" ca="1" si="1"/>
        <v>4.4000000000000012</v>
      </c>
      <c r="L27" s="88" t="str">
        <f t="shared" ca="1" si="2"/>
        <v/>
      </c>
      <c r="M27" s="86" t="str">
        <f t="shared" ca="1" si="3"/>
        <v/>
      </c>
      <c r="N27" s="85">
        <f ca="1">LN('Histogram Data'!K27+0.01)-LN(price)</f>
        <v>-2.7927914295573002</v>
      </c>
      <c r="O27" s="85">
        <f ca="1">_xlfn.NORM.DIST(N27,0+0.03^3,AVERAGE('Valuation Model'!$K$22:$L$22),FALSE)/scaling</f>
        <v>1.0921471080148574E-27</v>
      </c>
    </row>
    <row r="28" spans="4:15" s="80" customFormat="1" ht="12">
      <c r="J28" s="87">
        <f t="shared" si="4"/>
        <v>0.46000000000000013</v>
      </c>
      <c r="K28" s="85">
        <f t="shared" ca="1" si="1"/>
        <v>4.6000000000000014</v>
      </c>
      <c r="L28" s="88" t="str">
        <f t="shared" ca="1" si="2"/>
        <v/>
      </c>
      <c r="M28" s="86" t="str">
        <f t="shared" ca="1" si="3"/>
        <v/>
      </c>
      <c r="N28" s="85">
        <f ca="1">LN('Histogram Data'!K28+0.01)-LN(price)</f>
        <v>-2.7484382620074976</v>
      </c>
      <c r="O28" s="85">
        <f ca="1">_xlfn.NORM.DIST(N28,0+0.03^3,AVERAGE('Valuation Model'!$K$22:$L$22),FALSE)/scaling</f>
        <v>7.448263735198106E-27</v>
      </c>
    </row>
    <row r="29" spans="4:15" s="80" customFormat="1" ht="12">
      <c r="J29" s="87">
        <f t="shared" si="4"/>
        <v>0.48000000000000015</v>
      </c>
      <c r="K29" s="85">
        <f t="shared" ca="1" si="1"/>
        <v>4.8000000000000016</v>
      </c>
      <c r="L29" s="88" t="str">
        <f t="shared" ca="1" si="2"/>
        <v/>
      </c>
      <c r="M29" s="86" t="str">
        <f t="shared" ca="1" si="3"/>
        <v/>
      </c>
      <c r="N29" s="85">
        <f ca="1">LN('Histogram Data'!K29+0.01)-LN(price)</f>
        <v>-2.7059690348983851</v>
      </c>
      <c r="O29" s="85">
        <f ca="1">_xlfn.NORM.DIST(N29,0+0.03^3,AVERAGE('Valuation Model'!$K$22:$L$22),FALSE)/scaling</f>
        <v>4.5488828509532151E-26</v>
      </c>
    </row>
    <row r="30" spans="4:15" s="80" customFormat="1" ht="12">
      <c r="J30" s="87">
        <f t="shared" si="4"/>
        <v>0.50000000000000011</v>
      </c>
      <c r="K30" s="85">
        <f t="shared" ca="1" si="1"/>
        <v>5.0000000000000009</v>
      </c>
      <c r="L30" s="88" t="str">
        <f t="shared" ca="1" si="2"/>
        <v/>
      </c>
      <c r="M30" s="86" t="str">
        <f t="shared" ca="1" si="3"/>
        <v/>
      </c>
      <c r="N30" s="85">
        <f ca="1">LN('Histogram Data'!K30+0.01)-LN(price)</f>
        <v>-2.6652302039192817</v>
      </c>
      <c r="O30" s="85">
        <f ca="1">_xlfn.NORM.DIST(N30,0+0.03^3,AVERAGE('Valuation Model'!$K$22:$L$22),FALSE)/scaling</f>
        <v>2.5132490403898974E-25</v>
      </c>
    </row>
    <row r="31" spans="4:15" s="80" customFormat="1" ht="12">
      <c r="J31" s="87">
        <f t="shared" si="4"/>
        <v>0.52000000000000013</v>
      </c>
      <c r="K31" s="85">
        <f t="shared" ca="1" si="1"/>
        <v>5.2000000000000011</v>
      </c>
      <c r="L31" s="88" t="str">
        <f t="shared" ca="1" si="2"/>
        <v/>
      </c>
      <c r="M31" s="86" t="str">
        <f t="shared" ca="1" si="3"/>
        <v/>
      </c>
      <c r="N31" s="85">
        <f ca="1">LN('Histogram Data'!K31+0.01)-LN(price)</f>
        <v>-2.6260862632507793</v>
      </c>
      <c r="O31" s="85">
        <f ca="1">_xlfn.NORM.DIST(N31,0+0.03^3,AVERAGE('Valuation Model'!$K$22:$L$22),FALSE)/scaling</f>
        <v>1.2673505209748688E-24</v>
      </c>
    </row>
    <row r="32" spans="4:15" s="80" customFormat="1" ht="12">
      <c r="J32" s="87">
        <f t="shared" si="4"/>
        <v>0.54000000000000015</v>
      </c>
      <c r="K32" s="85">
        <f t="shared" ca="1" si="1"/>
        <v>5.4000000000000012</v>
      </c>
      <c r="L32" s="88" t="str">
        <f t="shared" ca="1" si="2"/>
        <v/>
      </c>
      <c r="M32" s="86" t="str">
        <f t="shared" ca="1" si="3"/>
        <v/>
      </c>
      <c r="N32" s="85">
        <f ca="1">LN('Histogram Data'!K32+0.01)-LN(price)</f>
        <v>-2.5884170261576651</v>
      </c>
      <c r="O32" s="85">
        <f ca="1">_xlfn.NORM.DIST(N32,0+0.03^3,AVERAGE('Valuation Model'!$K$22:$L$22),FALSE)/scaling</f>
        <v>5.8785467496683701E-24</v>
      </c>
    </row>
    <row r="33" spans="10:15" s="80" customFormat="1" ht="12">
      <c r="J33" s="87">
        <f t="shared" si="4"/>
        <v>0.56000000000000016</v>
      </c>
      <c r="K33" s="85">
        <f t="shared" ca="1" si="1"/>
        <v>5.6000000000000014</v>
      </c>
      <c r="L33" s="88" t="str">
        <f t="shared" ca="1" si="2"/>
        <v/>
      </c>
      <c r="M33" s="86" t="str">
        <f t="shared" ca="1" si="3"/>
        <v/>
      </c>
      <c r="N33" s="85">
        <f ca="1">LN('Histogram Data'!K33+0.01)-LN(price)</f>
        <v>-2.5521153994814503</v>
      </c>
      <c r="O33" s="85">
        <f ca="1">_xlfn.NORM.DIST(N33,0+0.03^3,AVERAGE('Valuation Model'!$K$22:$L$22),FALSE)/scaling</f>
        <v>2.5254594546539366E-23</v>
      </c>
    </row>
    <row r="34" spans="10:15" s="80" customFormat="1" ht="12">
      <c r="J34" s="87">
        <f t="shared" si="4"/>
        <v>0.58000000000000018</v>
      </c>
      <c r="K34" s="85">
        <f t="shared" ca="1" si="1"/>
        <v>5.8000000000000016</v>
      </c>
      <c r="L34" s="88" t="str">
        <f t="shared" ca="1" si="2"/>
        <v/>
      </c>
      <c r="M34" s="86" t="str">
        <f t="shared" ca="1" si="3"/>
        <v/>
      </c>
      <c r="N34" s="85">
        <f ca="1">LN('Histogram Data'!K34+0.01)-LN(price)</f>
        <v>-2.5170855481522354</v>
      </c>
      <c r="O34" s="85">
        <f ca="1">_xlfn.NORM.DIST(N34,0+0.03^3,AVERAGE('Valuation Model'!$K$22:$L$22),FALSE)/scaling</f>
        <v>1.0110096361891065E-22</v>
      </c>
    </row>
    <row r="35" spans="10:15" s="80" customFormat="1" ht="12">
      <c r="J35" s="87">
        <f t="shared" si="4"/>
        <v>0.6000000000000002</v>
      </c>
      <c r="K35" s="85">
        <f t="shared" ca="1" si="1"/>
        <v>6.0000000000000018</v>
      </c>
      <c r="L35" s="88" t="str">
        <f t="shared" ca="1" si="2"/>
        <v/>
      </c>
      <c r="M35" s="86" t="str">
        <f t="shared" ca="1" si="3"/>
        <v/>
      </c>
      <c r="N35" s="85">
        <f ca="1">LN('Histogram Data'!K35+0.01)-LN(price)</f>
        <v>-2.4832413704689387</v>
      </c>
      <c r="O35" s="85">
        <f ca="1">_xlfn.NORM.DIST(N35,0+0.03^3,AVERAGE('Valuation Model'!$K$22:$L$22),FALSE)/scaling</f>
        <v>3.7920337332105759E-22</v>
      </c>
    </row>
    <row r="36" spans="10:15" s="80" customFormat="1" ht="12">
      <c r="J36" s="87">
        <f t="shared" si="4"/>
        <v>0.62000000000000022</v>
      </c>
      <c r="K36" s="85">
        <f t="shared" ca="1" si="1"/>
        <v>6.200000000000002</v>
      </c>
      <c r="L36" s="88" t="str">
        <f t="shared" ca="1" si="2"/>
        <v/>
      </c>
      <c r="M36" s="86" t="str">
        <f t="shared" ca="1" si="3"/>
        <v/>
      </c>
      <c r="N36" s="85">
        <f ca="1">LN('Histogram Data'!K36+0.01)-LN(price)</f>
        <v>-2.4505052230706674</v>
      </c>
      <c r="O36" s="85">
        <f ca="1">_xlfn.NORM.DIST(N36,0+0.03^3,AVERAGE('Valuation Model'!$K$22:$L$22),FALSE)/scaling</f>
        <v>1.3390563525094118E-21</v>
      </c>
    </row>
    <row r="37" spans="10:15" s="80" customFormat="1" ht="12">
      <c r="J37" s="87">
        <f t="shared" si="4"/>
        <v>0.64000000000000024</v>
      </c>
      <c r="K37" s="85">
        <f t="shared" ca="1" si="1"/>
        <v>6.4000000000000021</v>
      </c>
      <c r="L37" s="88" t="str">
        <f t="shared" ca="1" si="2"/>
        <v/>
      </c>
      <c r="M37" s="86" t="str">
        <f t="shared" ca="1" si="3"/>
        <v/>
      </c>
      <c r="N37" s="85">
        <f ca="1">LN('Histogram Data'!K37+0.01)-LN(price)</f>
        <v>-2.4188068480834763</v>
      </c>
      <c r="O37" s="85">
        <f ca="1">_xlfn.NORM.DIST(N37,0+0.03^3,AVERAGE('Valuation Model'!$K$22:$L$22),FALSE)/scaling</f>
        <v>4.4712263515232046E-21</v>
      </c>
    </row>
    <row r="38" spans="10:15" s="80" customFormat="1" ht="12">
      <c r="J38" s="87">
        <f t="shared" si="4"/>
        <v>0.66000000000000025</v>
      </c>
      <c r="K38" s="85">
        <f t="shared" ca="1" si="1"/>
        <v>6.6000000000000023</v>
      </c>
      <c r="L38" s="88" t="str">
        <f t="shared" ca="1" si="2"/>
        <v/>
      </c>
      <c r="M38" s="86" t="str">
        <f t="shared" ca="1" si="3"/>
        <v/>
      </c>
      <c r="N38" s="85">
        <f ca="1">LN('Histogram Data'!K38+0.01)-LN(price)</f>
        <v>-2.3880824651524604</v>
      </c>
      <c r="O38" s="85">
        <f ca="1">_xlfn.NORM.DIST(N38,0+0.03^3,AVERAGE('Valuation Model'!$K$22:$L$22),FALSE)/scaling</f>
        <v>1.4172897027228976E-20</v>
      </c>
    </row>
    <row r="39" spans="10:15" s="80" customFormat="1" ht="12">
      <c r="J39" s="87">
        <f t="shared" si="4"/>
        <v>0.68000000000000027</v>
      </c>
      <c r="K39" s="85">
        <f t="shared" ca="1" si="1"/>
        <v>6.8000000000000025</v>
      </c>
      <c r="L39" s="88" t="str">
        <f t="shared" ca="1" si="2"/>
        <v/>
      </c>
      <c r="M39" s="86" t="str">
        <f t="shared" ca="1" si="3"/>
        <v/>
      </c>
      <c r="N39" s="85">
        <f ca="1">LN('Histogram Data'!K39+0.01)-LN(price)</f>
        <v>-2.3582739988546342</v>
      </c>
      <c r="O39" s="85">
        <f ca="1">_xlfn.NORM.DIST(N39,0+0.03^3,AVERAGE('Valuation Model'!$K$22:$L$22),FALSE)/scaling</f>
        <v>4.2798955249944573E-20</v>
      </c>
    </row>
    <row r="40" spans="10:15" s="80" customFormat="1" ht="12">
      <c r="J40" s="87">
        <f t="shared" si="4"/>
        <v>0.70000000000000029</v>
      </c>
      <c r="K40" s="85">
        <f t="shared" ca="1" si="1"/>
        <v>7.0000000000000027</v>
      </c>
      <c r="L40" s="88" t="str">
        <f t="shared" ca="1" si="2"/>
        <v/>
      </c>
      <c r="M40" s="86" t="str">
        <f t="shared" ca="1" si="3"/>
        <v/>
      </c>
      <c r="N40" s="85">
        <f ca="1">LN('Histogram Data'!K40+0.01)-LN(price)</f>
        <v>-2.3293284179695561</v>
      </c>
      <c r="O40" s="85">
        <f ca="1">_xlfn.NORM.DIST(N40,0+0.03^3,AVERAGE('Valuation Model'!$K$22:$L$22),FALSE)/scaling</f>
        <v>1.2352194665718438E-19</v>
      </c>
    </row>
    <row r="41" spans="10:15" s="80" customFormat="1" ht="12">
      <c r="J41" s="87">
        <f t="shared" si="4"/>
        <v>0.72000000000000031</v>
      </c>
      <c r="K41" s="85">
        <f t="shared" ca="1" si="1"/>
        <v>7.2000000000000028</v>
      </c>
      <c r="L41" s="88" t="str">
        <f t="shared" ca="1" si="2"/>
        <v/>
      </c>
      <c r="M41" s="86" t="str">
        <f t="shared" ca="1" si="3"/>
        <v/>
      </c>
      <c r="N41" s="85">
        <f ca="1">LN('Histogram Data'!K41+0.01)-LN(price)</f>
        <v>-2.3011971677191969</v>
      </c>
      <c r="O41" s="85">
        <f ca="1">_xlfn.NORM.DIST(N41,0+0.03^3,AVERAGE('Valuation Model'!$K$22:$L$22),FALSE)/scaling</f>
        <v>3.4171026517494941E-19</v>
      </c>
    </row>
    <row r="42" spans="10:15" s="80" customFormat="1" ht="12">
      <c r="J42" s="87">
        <f t="shared" si="4"/>
        <v>0.74000000000000032</v>
      </c>
      <c r="K42" s="85">
        <f t="shared" ca="1" si="1"/>
        <v>7.400000000000003</v>
      </c>
      <c r="L42" s="88" t="str">
        <f t="shared" ca="1" si="2"/>
        <v/>
      </c>
      <c r="M42" s="86" t="str">
        <f t="shared" ca="1" si="3"/>
        <v/>
      </c>
      <c r="N42" s="85">
        <f ca="1">LN('Histogram Data'!K42+0.01)-LN(price)</f>
        <v>-2.2738356797080592</v>
      </c>
      <c r="O42" s="85">
        <f ca="1">_xlfn.NORM.DIST(N42,0+0.03^3,AVERAGE('Valuation Model'!$K$22:$L$22),FALSE)/scaling</f>
        <v>9.0850799748681007E-19</v>
      </c>
    </row>
    <row r="43" spans="10:15" s="80" customFormat="1" ht="12">
      <c r="J43" s="87">
        <f t="shared" si="4"/>
        <v>0.76000000000000034</v>
      </c>
      <c r="K43" s="85">
        <f t="shared" ca="1" si="1"/>
        <v>7.6000000000000032</v>
      </c>
      <c r="L43" s="88" t="str">
        <f t="shared" ca="1" si="2"/>
        <v/>
      </c>
      <c r="M43" s="86" t="str">
        <f t="shared" ca="1" si="3"/>
        <v/>
      </c>
      <c r="N43" s="85">
        <f ca="1">LN('Histogram Data'!K43+0.01)-LN(price)</f>
        <v>-2.2472029471424606</v>
      </c>
      <c r="O43" s="85">
        <f ca="1">_xlfn.NORM.DIST(N43,0+0.03^3,AVERAGE('Valuation Model'!$K$22:$L$22),FALSE)/scaling</f>
        <v>2.3270743962367732E-18</v>
      </c>
    </row>
    <row r="44" spans="10:15" s="80" customFormat="1" ht="12">
      <c r="J44" s="87">
        <f t="shared" si="4"/>
        <v>0.78000000000000036</v>
      </c>
      <c r="K44" s="85">
        <f t="shared" ca="1" si="1"/>
        <v>7.8000000000000034</v>
      </c>
      <c r="L44" s="88" t="str">
        <f t="shared" ca="1" si="2"/>
        <v/>
      </c>
      <c r="M44" s="86" t="str">
        <f t="shared" ca="1" si="3"/>
        <v/>
      </c>
      <c r="N44" s="85">
        <f ca="1">LN('Histogram Data'!K44+0.01)-LN(price)</f>
        <v>-2.2212611551644601</v>
      </c>
      <c r="O44" s="85">
        <f ca="1">_xlfn.NORM.DIST(N44,0+0.03^3,AVERAGE('Valuation Model'!$K$22:$L$22),FALSE)/scaling</f>
        <v>5.7552944077789162E-18</v>
      </c>
    </row>
    <row r="45" spans="10:15" s="80" customFormat="1" ht="12">
      <c r="J45" s="87">
        <f t="shared" si="4"/>
        <v>0.80000000000000038</v>
      </c>
      <c r="K45" s="85">
        <f t="shared" ca="1" si="1"/>
        <v>8.0000000000000036</v>
      </c>
      <c r="L45" s="88" t="str">
        <f t="shared" ca="1" si="2"/>
        <v/>
      </c>
      <c r="M45" s="86" t="str">
        <f t="shared" ca="1" si="3"/>
        <v/>
      </c>
      <c r="N45" s="85">
        <f ca="1">LN('Histogram Data'!K45+0.01)-LN(price)</f>
        <v>-2.195975357935787</v>
      </c>
      <c r="O45" s="85">
        <f ca="1">_xlfn.NORM.DIST(N45,0+0.03^3,AVERAGE('Valuation Model'!$K$22:$L$22),FALSE)/scaling</f>
        <v>1.3771654288725358E-17</v>
      </c>
    </row>
    <row r="46" spans="10:15" s="80" customFormat="1" ht="12">
      <c r="J46" s="87">
        <f t="shared" si="4"/>
        <v>0.8200000000000004</v>
      </c>
      <c r="K46" s="85">
        <f t="shared" ca="1" si="1"/>
        <v>8.2000000000000046</v>
      </c>
      <c r="L46" s="88" t="str">
        <f t="shared" ca="1" si="2"/>
        <v/>
      </c>
      <c r="M46" s="86" t="str">
        <f t="shared" ca="1" si="3"/>
        <v/>
      </c>
      <c r="N46" s="85">
        <f ca="1">LN('Histogram Data'!K46+0.01)-LN(price)</f>
        <v>-2.171313195551718</v>
      </c>
      <c r="O46" s="85">
        <f ca="1">_xlfn.NORM.DIST(N46,0+0.03^3,AVERAGE('Valuation Model'!$K$22:$L$22),FALSE)/scaling</f>
        <v>3.1943341224690412E-17</v>
      </c>
    </row>
    <row r="47" spans="10:15" s="80" customFormat="1" ht="12">
      <c r="J47" s="87">
        <f t="shared" si="4"/>
        <v>0.84000000000000041</v>
      </c>
      <c r="K47" s="85">
        <f t="shared" ca="1" si="1"/>
        <v>8.4000000000000039</v>
      </c>
      <c r="L47" s="88" t="str">
        <f t="shared" ca="1" si="2"/>
        <v/>
      </c>
      <c r="M47" s="86" t="str">
        <f t="shared" ca="1" si="3"/>
        <v/>
      </c>
      <c r="N47" s="85">
        <f ca="1">LN('Histogram Data'!K47+0.01)-LN(price)</f>
        <v>-2.1472446450311984</v>
      </c>
      <c r="O47" s="85">
        <f ca="1">_xlfn.NORM.DIST(N47,0+0.03^3,AVERAGE('Valuation Model'!$K$22:$L$22),FALSE)/scaling</f>
        <v>7.1945013412482954E-17</v>
      </c>
    </row>
    <row r="48" spans="10:15" s="80" customFormat="1" ht="12">
      <c r="J48" s="87">
        <f t="shared" si="4"/>
        <v>0.86000000000000043</v>
      </c>
      <c r="K48" s="85">
        <f t="shared" ca="1" si="1"/>
        <v>8.600000000000005</v>
      </c>
      <c r="L48" s="88" t="str">
        <f t="shared" ca="1" si="2"/>
        <v/>
      </c>
      <c r="M48" s="86" t="str">
        <f t="shared" ca="1" si="3"/>
        <v/>
      </c>
      <c r="N48" s="85">
        <f ca="1">LN('Histogram Data'!K48+0.01)-LN(price)</f>
        <v>-2.1237418005764153</v>
      </c>
      <c r="O48" s="85">
        <f ca="1">_xlfn.NORM.DIST(N48,0+0.03^3,AVERAGE('Valuation Model'!$K$22:$L$22),FALSE)/scaling</f>
        <v>1.5759415698929971E-16</v>
      </c>
    </row>
    <row r="49" spans="10:15" s="80" customFormat="1" ht="12">
      <c r="J49" s="87">
        <f t="shared" si="4"/>
        <v>0.88000000000000045</v>
      </c>
      <c r="K49" s="85">
        <f t="shared" ca="1" si="1"/>
        <v>8.8000000000000043</v>
      </c>
      <c r="L49" s="88" t="str">
        <f t="shared" ca="1" si="2"/>
        <v/>
      </c>
      <c r="M49" s="86" t="str">
        <f t="shared" ca="1" si="3"/>
        <v/>
      </c>
      <c r="N49" s="85">
        <f ca="1">LN('Histogram Data'!K49+0.01)-LN(price)</f>
        <v>-2.1007786790679668</v>
      </c>
      <c r="O49" s="85">
        <f ca="1">_xlfn.NORM.DIST(N49,0+0.03^3,AVERAGE('Valuation Model'!$K$22:$L$22),FALSE)/scaling</f>
        <v>3.3623240759486176E-16</v>
      </c>
    </row>
    <row r="50" spans="10:15" s="80" customFormat="1" ht="12">
      <c r="J50" s="87">
        <f t="shared" si="4"/>
        <v>0.90000000000000047</v>
      </c>
      <c r="K50" s="85">
        <f t="shared" ca="1" si="1"/>
        <v>9.0000000000000053</v>
      </c>
      <c r="L50" s="88" t="str">
        <f t="shared" ca="1" si="2"/>
        <v/>
      </c>
      <c r="M50" s="86" t="str">
        <f t="shared" ca="1" si="3"/>
        <v/>
      </c>
      <c r="N50" s="85">
        <f ca="1">LN('Histogram Data'!K50+0.01)-LN(price)</f>
        <v>-2.0783310473958081</v>
      </c>
      <c r="O50" s="85">
        <f ca="1">_xlfn.NORM.DIST(N50,0+0.03^3,AVERAGE('Valuation Model'!$K$22:$L$22),FALSE)/scaling</f>
        <v>6.9966970385140002E-16</v>
      </c>
    </row>
    <row r="51" spans="10:15" s="80" customFormat="1" ht="12">
      <c r="J51" s="87">
        <f t="shared" si="4"/>
        <v>0.92000000000000048</v>
      </c>
      <c r="K51" s="85">
        <f t="shared" ca="1" si="1"/>
        <v>9.2000000000000046</v>
      </c>
      <c r="L51" s="88" t="str">
        <f t="shared" ca="1" si="2"/>
        <v/>
      </c>
      <c r="M51" s="86" t="str">
        <f t="shared" ca="1" si="3"/>
        <v/>
      </c>
      <c r="N51" s="85">
        <f ca="1">LN('Histogram Data'!K51+0.01)-LN(price)</f>
        <v>-2.0563762687488394</v>
      </c>
      <c r="O51" s="85">
        <f ca="1">_xlfn.NORM.DIST(N51,0+0.03^3,AVERAGE('Valuation Model'!$K$22:$L$22),FALSE)/scaling</f>
        <v>1.4218441120238253E-15</v>
      </c>
    </row>
    <row r="52" spans="10:15" s="80" customFormat="1" ht="12">
      <c r="J52" s="87">
        <f t="shared" si="4"/>
        <v>0.9400000000000005</v>
      </c>
      <c r="K52" s="85">
        <f t="shared" ca="1" si="1"/>
        <v>9.4000000000000057</v>
      </c>
      <c r="L52" s="88" t="str">
        <f t="shared" ca="1" si="2"/>
        <v/>
      </c>
      <c r="M52" s="86" t="str">
        <f t="shared" ca="1" si="3"/>
        <v/>
      </c>
      <c r="N52" s="85">
        <f ca="1">LN('Histogram Data'!K52+0.01)-LN(price)</f>
        <v>-2.0348931654187665</v>
      </c>
      <c r="O52" s="85">
        <f ca="1">_xlfn.NORM.DIST(N52,0+0.03^3,AVERAGE('Valuation Model'!$K$22:$L$22),FALSE)/scaling</f>
        <v>2.8250683428769212E-15</v>
      </c>
    </row>
    <row r="53" spans="10:15" s="80" customFormat="1" ht="12">
      <c r="J53" s="87">
        <f t="shared" si="4"/>
        <v>0.96000000000000052</v>
      </c>
      <c r="K53" s="85">
        <f t="shared" ca="1" si="1"/>
        <v>9.600000000000005</v>
      </c>
      <c r="L53" s="88" t="str">
        <f t="shared" ca="1" si="2"/>
        <v/>
      </c>
      <c r="M53" s="86" t="str">
        <f t="shared" ca="1" si="3"/>
        <v/>
      </c>
      <c r="N53" s="85">
        <f ca="1">LN('Histogram Data'!K53+0.01)-LN(price)</f>
        <v>-2.0138618960338537</v>
      </c>
      <c r="O53" s="85">
        <f ca="1">_xlfn.NORM.DIST(N53,0+0.03^3,AVERAGE('Valuation Model'!$K$22:$L$22),FALSE)/scaling</f>
        <v>5.4941607579437275E-15</v>
      </c>
    </row>
    <row r="54" spans="10:15" s="80" customFormat="1" ht="12">
      <c r="J54" s="87">
        <f t="shared" si="4"/>
        <v>0.98000000000000054</v>
      </c>
      <c r="K54" s="85">
        <f t="shared" ca="1" si="1"/>
        <v>9.800000000000006</v>
      </c>
      <c r="L54" s="88" t="str">
        <f t="shared" ca="1" si="2"/>
        <v/>
      </c>
      <c r="M54" s="86" t="str">
        <f t="shared" ca="1" si="3"/>
        <v/>
      </c>
      <c r="N54" s="85">
        <f ca="1">LN('Histogram Data'!K54+0.01)-LN(price)</f>
        <v>-1.9932638454387832</v>
      </c>
      <c r="O54" s="85">
        <f ca="1">_xlfn.NORM.DIST(N54,0+0.03^3,AVERAGE('Valuation Model'!$K$22:$L$22),FALSE)/scaling</f>
        <v>1.0469221227352553E-14</v>
      </c>
    </row>
    <row r="55" spans="10:15">
      <c r="J55" s="87">
        <f t="shared" si="4"/>
        <v>1.0000000000000004</v>
      </c>
      <c r="K55" s="85">
        <f t="shared" ca="1" si="1"/>
        <v>10.000000000000004</v>
      </c>
      <c r="L55" s="88" t="str">
        <f t="shared" ca="1" si="2"/>
        <v/>
      </c>
      <c r="M55" s="86" t="str">
        <f t="shared" ca="1" si="3"/>
        <v/>
      </c>
      <c r="N55" s="85">
        <f ca="1">LN('Histogram Data'!K55+0.01)-LN(price)</f>
        <v>-1.9730815256889258</v>
      </c>
      <c r="O55" s="85">
        <f ca="1">_xlfn.NORM.DIST(N55,0+0.03^3,AVERAGE('Valuation Model'!$K$22:$L$22),FALSE)/scaling</f>
        <v>1.9565175787617468E-14</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topLeftCell="A44" workbookViewId="0">
      <selection activeCell="A67" sqref="A67"/>
    </sheetView>
  </sheetViews>
  <sheetFormatPr defaultRowHeight="15"/>
  <cols>
    <col min="1" max="1" width="10.75" bestFit="1" customWidth="1"/>
    <col min="3" max="3" width="10.75" bestFit="1" customWidth="1"/>
  </cols>
  <sheetData>
    <row r="1" spans="1:3">
      <c r="A1" t="s">
        <v>161</v>
      </c>
      <c r="B1" t="s">
        <v>162</v>
      </c>
    </row>
    <row r="2" spans="1:3">
      <c r="A2" s="134">
        <v>36616</v>
      </c>
      <c r="B2">
        <v>10036.1</v>
      </c>
      <c r="C2" s="134"/>
    </row>
    <row r="3" spans="1:3">
      <c r="A3" s="134">
        <v>36707</v>
      </c>
      <c r="B3">
        <v>10283.700000000001</v>
      </c>
      <c r="C3" s="134"/>
    </row>
    <row r="4" spans="1:3">
      <c r="A4" s="134">
        <v>36799</v>
      </c>
      <c r="B4">
        <v>10363.799999999999</v>
      </c>
      <c r="C4" s="134"/>
    </row>
    <row r="5" spans="1:3">
      <c r="A5" s="134">
        <v>36891</v>
      </c>
      <c r="B5">
        <v>10475.299999999999</v>
      </c>
      <c r="C5" s="134"/>
    </row>
    <row r="6" spans="1:3">
      <c r="A6" s="134">
        <v>36981</v>
      </c>
      <c r="B6">
        <v>10512.5</v>
      </c>
      <c r="C6" s="134"/>
    </row>
    <row r="7" spans="1:3">
      <c r="A7" s="134">
        <v>37072</v>
      </c>
      <c r="B7">
        <v>10641.6</v>
      </c>
      <c r="C7" s="134"/>
    </row>
    <row r="8" spans="1:3">
      <c r="A8" s="134">
        <v>37164</v>
      </c>
      <c r="B8">
        <v>10644.3</v>
      </c>
      <c r="C8" s="134"/>
    </row>
    <row r="9" spans="1:3">
      <c r="A9" s="134">
        <v>37256</v>
      </c>
      <c r="B9">
        <v>10702.7</v>
      </c>
      <c r="C9" s="134"/>
    </row>
    <row r="10" spans="1:3">
      <c r="A10" s="134">
        <v>37346</v>
      </c>
      <c r="B10">
        <v>10837.3</v>
      </c>
      <c r="C10" s="134"/>
    </row>
    <row r="11" spans="1:3">
      <c r="A11" s="134">
        <v>37437</v>
      </c>
      <c r="B11">
        <v>10938</v>
      </c>
      <c r="C11" s="134"/>
    </row>
    <row r="12" spans="1:3">
      <c r="A12" s="134">
        <v>37529</v>
      </c>
      <c r="B12">
        <v>11039.8</v>
      </c>
      <c r="C12" s="134"/>
    </row>
    <row r="13" spans="1:3">
      <c r="A13" s="134">
        <v>37621</v>
      </c>
      <c r="B13">
        <v>11105.7</v>
      </c>
      <c r="C13" s="134"/>
    </row>
    <row r="14" spans="1:3">
      <c r="A14" s="134">
        <v>37711</v>
      </c>
      <c r="B14">
        <v>11230.8</v>
      </c>
      <c r="C14" s="134"/>
    </row>
    <row r="15" spans="1:3">
      <c r="A15" s="134">
        <v>37802</v>
      </c>
      <c r="B15">
        <v>11371.4</v>
      </c>
      <c r="C15" s="134"/>
    </row>
    <row r="16" spans="1:3">
      <c r="A16" s="134">
        <v>37894</v>
      </c>
      <c r="B16">
        <v>11628.4</v>
      </c>
      <c r="C16" s="134"/>
    </row>
    <row r="17" spans="1:3">
      <c r="A17" s="134">
        <v>37986</v>
      </c>
      <c r="B17">
        <v>11818.5</v>
      </c>
      <c r="C17" s="134"/>
    </row>
    <row r="18" spans="1:3">
      <c r="A18" s="134">
        <v>38077</v>
      </c>
      <c r="B18">
        <v>11991.4</v>
      </c>
      <c r="C18" s="134"/>
    </row>
    <row r="19" spans="1:3">
      <c r="A19" s="134">
        <v>38168</v>
      </c>
      <c r="B19">
        <v>12183.5</v>
      </c>
      <c r="C19" s="134"/>
    </row>
    <row r="20" spans="1:3">
      <c r="A20" s="134">
        <v>38260</v>
      </c>
      <c r="B20">
        <v>12369.4</v>
      </c>
      <c r="C20" s="134"/>
    </row>
    <row r="21" spans="1:3">
      <c r="A21" s="134">
        <v>38352</v>
      </c>
      <c r="B21">
        <v>12563.8</v>
      </c>
      <c r="C21" s="134"/>
    </row>
    <row r="22" spans="1:3">
      <c r="A22" s="134">
        <v>38442</v>
      </c>
      <c r="B22">
        <v>12816.2</v>
      </c>
      <c r="C22" s="134"/>
    </row>
    <row r="23" spans="1:3">
      <c r="A23" s="134">
        <v>38533</v>
      </c>
      <c r="B23">
        <v>12975.7</v>
      </c>
      <c r="C23" s="134"/>
    </row>
    <row r="24" spans="1:3">
      <c r="A24" s="134">
        <v>38625</v>
      </c>
      <c r="B24">
        <v>13206.5</v>
      </c>
      <c r="C24" s="134"/>
    </row>
    <row r="25" spans="1:3">
      <c r="A25" s="134">
        <v>38717</v>
      </c>
      <c r="B25">
        <v>13383.3</v>
      </c>
      <c r="C25" s="134"/>
    </row>
    <row r="26" spans="1:3">
      <c r="A26" s="134">
        <v>38807</v>
      </c>
      <c r="B26">
        <v>13649.8</v>
      </c>
      <c r="C26" s="134"/>
    </row>
    <row r="27" spans="1:3">
      <c r="A27" s="134">
        <v>38898</v>
      </c>
      <c r="B27">
        <v>13802.9</v>
      </c>
      <c r="C27" s="134"/>
    </row>
    <row r="28" spans="1:3">
      <c r="A28" s="134">
        <v>38990</v>
      </c>
      <c r="B28">
        <v>13910.5</v>
      </c>
      <c r="C28" s="134"/>
    </row>
    <row r="29" spans="1:3">
      <c r="A29" s="134">
        <v>39082</v>
      </c>
      <c r="B29">
        <v>14068.4</v>
      </c>
    </row>
    <row r="30" spans="1:3">
      <c r="A30" s="134">
        <v>39172</v>
      </c>
      <c r="B30">
        <v>14235</v>
      </c>
    </row>
    <row r="31" spans="1:3">
      <c r="A31" s="134">
        <v>39263</v>
      </c>
      <c r="B31">
        <v>14424.5</v>
      </c>
    </row>
    <row r="32" spans="1:3">
      <c r="A32" s="134">
        <v>39355</v>
      </c>
      <c r="B32">
        <v>14571.9</v>
      </c>
    </row>
    <row r="33" spans="1:2">
      <c r="A33" s="134">
        <v>39447</v>
      </c>
      <c r="B33">
        <v>14690</v>
      </c>
    </row>
    <row r="34" spans="1:2">
      <c r="A34" s="134">
        <v>39538</v>
      </c>
      <c r="B34">
        <v>14672.9</v>
      </c>
    </row>
    <row r="35" spans="1:2">
      <c r="A35" s="134">
        <v>39629</v>
      </c>
      <c r="B35">
        <v>14813</v>
      </c>
    </row>
    <row r="36" spans="1:2">
      <c r="A36" s="134">
        <v>39721</v>
      </c>
      <c r="B36">
        <v>14843</v>
      </c>
    </row>
    <row r="37" spans="1:2">
      <c r="A37" s="134">
        <v>39813</v>
      </c>
      <c r="B37">
        <v>14549.9</v>
      </c>
    </row>
    <row r="38" spans="1:2">
      <c r="A38" s="134">
        <v>39903</v>
      </c>
      <c r="B38">
        <v>14383.9</v>
      </c>
    </row>
    <row r="39" spans="1:2">
      <c r="A39" s="134">
        <v>39994</v>
      </c>
      <c r="B39">
        <v>14340.4</v>
      </c>
    </row>
    <row r="40" spans="1:2">
      <c r="A40" s="134">
        <v>40086</v>
      </c>
      <c r="B40">
        <v>14384.1</v>
      </c>
    </row>
    <row r="41" spans="1:2">
      <c r="A41" s="134">
        <v>40178</v>
      </c>
      <c r="B41">
        <v>14566.5</v>
      </c>
    </row>
    <row r="42" spans="1:2">
      <c r="A42" s="134">
        <v>40268</v>
      </c>
      <c r="B42">
        <v>14681.1</v>
      </c>
    </row>
    <row r="43" spans="1:2">
      <c r="A43" s="134">
        <v>40359</v>
      </c>
      <c r="B43">
        <v>14888.6</v>
      </c>
    </row>
    <row r="44" spans="1:2">
      <c r="A44" s="134">
        <v>40451</v>
      </c>
      <c r="B44">
        <v>15057.7</v>
      </c>
    </row>
    <row r="45" spans="1:2">
      <c r="A45" s="134">
        <v>40543</v>
      </c>
      <c r="B45">
        <v>15230.2</v>
      </c>
    </row>
    <row r="46" spans="1:2">
      <c r="A46" s="134">
        <v>40633</v>
      </c>
      <c r="B46">
        <v>15238.4</v>
      </c>
    </row>
    <row r="47" spans="1:2">
      <c r="A47" s="134">
        <v>40724</v>
      </c>
      <c r="B47">
        <v>15460.9</v>
      </c>
    </row>
    <row r="48" spans="1:2">
      <c r="A48" s="134">
        <v>40816</v>
      </c>
      <c r="B48">
        <v>15587.1</v>
      </c>
    </row>
    <row r="49" spans="1:2">
      <c r="A49" s="134">
        <v>40908</v>
      </c>
      <c r="B49">
        <v>15785.3</v>
      </c>
    </row>
    <row r="50" spans="1:2">
      <c r="A50" s="134">
        <v>40999</v>
      </c>
      <c r="B50">
        <v>15956.5</v>
      </c>
    </row>
    <row r="51" spans="1:2">
      <c r="A51" s="134">
        <v>41090</v>
      </c>
      <c r="B51">
        <v>16094.7</v>
      </c>
    </row>
    <row r="52" spans="1:2">
      <c r="A52" s="134">
        <v>41182</v>
      </c>
      <c r="B52">
        <v>16268.9</v>
      </c>
    </row>
    <row r="53" spans="1:2">
      <c r="A53" s="134">
        <v>41274</v>
      </c>
      <c r="B53">
        <v>16332.5</v>
      </c>
    </row>
    <row r="54" spans="1:2">
      <c r="A54" s="134">
        <v>41364</v>
      </c>
      <c r="B54">
        <v>16502.400000000001</v>
      </c>
    </row>
    <row r="55" spans="1:2">
      <c r="A55" s="134">
        <v>41455</v>
      </c>
      <c r="B55">
        <v>16619.2</v>
      </c>
    </row>
    <row r="56" spans="1:2">
      <c r="A56" s="134">
        <v>41547</v>
      </c>
      <c r="B56">
        <v>16872.3</v>
      </c>
    </row>
    <row r="57" spans="1:2">
      <c r="A57" s="134">
        <v>41639</v>
      </c>
      <c r="B57">
        <v>17078.3</v>
      </c>
    </row>
    <row r="58" spans="1:2">
      <c r="A58" s="134">
        <v>41729</v>
      </c>
      <c r="B58">
        <v>17044</v>
      </c>
    </row>
    <row r="59" spans="1:2">
      <c r="A59" s="134">
        <v>41820</v>
      </c>
      <c r="B59">
        <v>17328.2</v>
      </c>
    </row>
    <row r="60" spans="1:2">
      <c r="A60" s="134">
        <v>41912</v>
      </c>
      <c r="B60">
        <v>17599.8</v>
      </c>
    </row>
    <row r="61" spans="1:2">
      <c r="A61" s="134">
        <v>42004</v>
      </c>
      <c r="B61">
        <v>17703.7</v>
      </c>
    </row>
    <row r="62" spans="1:2">
      <c r="A62" s="134">
        <v>42094</v>
      </c>
      <c r="B62">
        <v>17665</v>
      </c>
    </row>
    <row r="63" spans="1:2">
      <c r="A63" s="134">
        <v>42185</v>
      </c>
      <c r="B63">
        <v>17913.7</v>
      </c>
    </row>
    <row r="64" spans="1:2">
      <c r="A64" s="134">
        <v>42277</v>
      </c>
      <c r="B64">
        <v>18060.2</v>
      </c>
    </row>
    <row r="65" spans="1:2">
      <c r="A65" s="134">
        <v>42369</v>
      </c>
      <c r="B65">
        <v>18164.8</v>
      </c>
    </row>
    <row r="66" spans="1:2">
      <c r="A66" s="134">
        <v>42460</v>
      </c>
      <c r="B66">
        <v>18229.5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
  <sheetViews>
    <sheetView workbookViewId="0"/>
  </sheetViews>
  <sheetFormatPr defaultRowHeight="15"/>
  <cols>
    <col min="1" max="5" width="6.25" bestFit="1" customWidth="1"/>
    <col min="6" max="7" width="11" bestFit="1" customWidth="1"/>
    <col min="8" max="8" width="6.125" bestFit="1" customWidth="1"/>
    <col min="9" max="10" width="11" bestFit="1" customWidth="1"/>
    <col min="11" max="11" width="6.125" bestFit="1" customWidth="1"/>
    <col min="12" max="13" width="11" bestFit="1" customWidth="1"/>
    <col min="14" max="14" width="6.125" bestFit="1" customWidth="1"/>
    <col min="15" max="16" width="11" bestFit="1" customWidth="1"/>
    <col min="17" max="17" width="6.125" bestFit="1" customWidth="1"/>
    <col min="18" max="19" width="11" bestFit="1" customWidth="1"/>
    <col min="20" max="20" width="6.125" bestFit="1" customWidth="1"/>
    <col min="21" max="22" width="11" bestFit="1" customWidth="1"/>
    <col min="23" max="23" width="6.125" bestFit="1" customWidth="1"/>
    <col min="24" max="25" width="11" bestFit="1" customWidth="1"/>
    <col min="26" max="26" width="6.125" bestFit="1" customWidth="1"/>
    <col min="27" max="28" width="11" bestFit="1" customWidth="1"/>
    <col min="29" max="29" width="6.1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7</vt:i4>
      </vt:variant>
      <vt:variant>
        <vt:lpstr>Named Ranges</vt:lpstr>
      </vt:variant>
      <vt:variant>
        <vt:i4>44</vt:i4>
      </vt:variant>
    </vt:vector>
  </HeadingPairs>
  <TitlesOfParts>
    <vt:vector size="57" baseType="lpstr">
      <vt:lpstr>Valuation Model</vt:lpstr>
      <vt:lpstr>Company Analysis</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2016-09-16T02:08:13Z</dcterms:modified>
</cp:coreProperties>
</file>